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LIANT\Depto_Contabilidad\O.F.S\JUMAPAC GENERADOR CP 2017\PRIMER TRIMESTRE\DIGITALES SIRET\"/>
    </mc:Choice>
  </mc:AlternateContent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2" i="1"/>
  <c r="C81" i="1"/>
  <c r="C80" i="1"/>
  <c r="C79" i="1"/>
  <c r="C78" i="1"/>
  <c r="C76" i="1"/>
  <c r="C75" i="1"/>
  <c r="C74" i="1"/>
  <c r="C73" i="1"/>
  <c r="C72" i="1"/>
  <c r="C70" i="1"/>
  <c r="C69" i="1"/>
  <c r="C68" i="1"/>
  <c r="C67" i="1"/>
  <c r="C66" i="1"/>
  <c r="C65" i="1"/>
  <c r="C64" i="1"/>
  <c r="C63" i="1"/>
  <c r="C61" i="1"/>
  <c r="C60" i="1"/>
  <c r="C59" i="1"/>
  <c r="C58" i="1"/>
  <c r="C57" i="1"/>
  <c r="C56" i="1"/>
  <c r="C55" i="1"/>
  <c r="C53" i="1"/>
  <c r="C52" i="1"/>
  <c r="C51" i="1"/>
  <c r="C50" i="1"/>
  <c r="C49" i="1"/>
  <c r="C47" i="1"/>
  <c r="C46" i="1"/>
  <c r="C45" i="1"/>
  <c r="C44" i="1"/>
  <c r="C41" i="1"/>
  <c r="C40" i="1"/>
  <c r="C39" i="1"/>
  <c r="C37" i="1"/>
  <c r="C36" i="1"/>
  <c r="C34" i="1"/>
  <c r="C33" i="1" s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C7" i="1"/>
  <c r="C6" i="1"/>
  <c r="C90" i="1" l="1"/>
  <c r="C83" i="1"/>
  <c r="C77" i="1"/>
  <c r="C48" i="1"/>
  <c r="C38" i="1"/>
  <c r="C35" i="1"/>
  <c r="C27" i="1"/>
  <c r="C21" i="1"/>
  <c r="C13" i="1"/>
  <c r="C5" i="1"/>
  <c r="C43" i="1"/>
  <c r="C62" i="1"/>
  <c r="C71" i="1"/>
  <c r="C54" i="1"/>
  <c r="E82" i="1"/>
  <c r="E80" i="1"/>
  <c r="E79" i="1"/>
  <c r="E78" i="1"/>
  <c r="C42" i="1" l="1"/>
  <c r="C4" i="1"/>
  <c r="F99" i="1"/>
  <c r="E99" i="1"/>
  <c r="D99" i="1"/>
  <c r="F98" i="1"/>
  <c r="E98" i="1"/>
  <c r="D98" i="1"/>
  <c r="F97" i="1"/>
  <c r="E97" i="1"/>
  <c r="D97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2" i="1"/>
  <c r="D82" i="1"/>
  <c r="F81" i="1"/>
  <c r="E81" i="1"/>
  <c r="D81" i="1"/>
  <c r="F80" i="1"/>
  <c r="D80" i="1"/>
  <c r="F79" i="1"/>
  <c r="D79" i="1"/>
  <c r="F78" i="1"/>
  <c r="G78" i="1" s="1"/>
  <c r="D78" i="1"/>
  <c r="F76" i="1"/>
  <c r="E76" i="1"/>
  <c r="D76" i="1"/>
  <c r="F75" i="1"/>
  <c r="E75" i="1"/>
  <c r="D75" i="1"/>
  <c r="F74" i="1"/>
  <c r="G74" i="1" s="1"/>
  <c r="E74" i="1"/>
  <c r="D74" i="1"/>
  <c r="F73" i="1"/>
  <c r="E73" i="1"/>
  <c r="D73" i="1"/>
  <c r="F72" i="1"/>
  <c r="E72" i="1"/>
  <c r="D72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D48" i="1"/>
  <c r="F47" i="1"/>
  <c r="G47" i="1" s="1"/>
  <c r="E47" i="1"/>
  <c r="D47" i="1"/>
  <c r="F46" i="1"/>
  <c r="E46" i="1"/>
  <c r="D46" i="1"/>
  <c r="F45" i="1"/>
  <c r="E45" i="1"/>
  <c r="D45" i="1"/>
  <c r="F44" i="1"/>
  <c r="E44" i="1"/>
  <c r="D44" i="1"/>
  <c r="D43" i="1"/>
  <c r="F41" i="1"/>
  <c r="E41" i="1"/>
  <c r="D41" i="1"/>
  <c r="F40" i="1"/>
  <c r="E40" i="1"/>
  <c r="D40" i="1"/>
  <c r="F39" i="1"/>
  <c r="E39" i="1"/>
  <c r="D39" i="1"/>
  <c r="D38" i="1"/>
  <c r="F37" i="1"/>
  <c r="E37" i="1"/>
  <c r="D37" i="1"/>
  <c r="F36" i="1"/>
  <c r="E36" i="1"/>
  <c r="D36" i="1"/>
  <c r="D35" i="1"/>
  <c r="F34" i="1"/>
  <c r="F33" i="1" s="1"/>
  <c r="E34" i="1"/>
  <c r="E33" i="1" s="1"/>
  <c r="D34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E90" i="1" l="1"/>
  <c r="E83" i="1"/>
  <c r="D54" i="1"/>
  <c r="C3" i="1"/>
  <c r="E38" i="1"/>
  <c r="F35" i="1"/>
  <c r="G35" i="1" s="1"/>
  <c r="D62" i="1"/>
  <c r="D13" i="1"/>
  <c r="D5" i="1"/>
  <c r="D21" i="1"/>
  <c r="F62" i="1"/>
  <c r="G62" i="1" s="1"/>
  <c r="D83" i="1"/>
  <c r="F54" i="1"/>
  <c r="G54" i="1" s="1"/>
  <c r="E21" i="1"/>
  <c r="D33" i="1"/>
  <c r="G65" i="1"/>
  <c r="G67" i="1"/>
  <c r="G69" i="1"/>
  <c r="G23" i="1"/>
  <c r="G24" i="1"/>
  <c r="G40" i="1"/>
  <c r="D71" i="1"/>
  <c r="D77" i="1"/>
  <c r="G99" i="1"/>
  <c r="E96" i="1"/>
  <c r="F96" i="1"/>
  <c r="F90" i="1"/>
  <c r="G90" i="1" s="1"/>
  <c r="G95" i="1"/>
  <c r="G92" i="1"/>
  <c r="G89" i="1"/>
  <c r="G87" i="1"/>
  <c r="F83" i="1"/>
  <c r="G85" i="1"/>
  <c r="G82" i="1"/>
  <c r="E77" i="1"/>
  <c r="G80" i="1"/>
  <c r="G76" i="1"/>
  <c r="E71" i="1"/>
  <c r="F71" i="1"/>
  <c r="G71" i="1" s="1"/>
  <c r="E62" i="1"/>
  <c r="G63" i="1"/>
  <c r="E54" i="1"/>
  <c r="G55" i="1"/>
  <c r="G53" i="1"/>
  <c r="G52" i="1"/>
  <c r="G51" i="1"/>
  <c r="F48" i="1"/>
  <c r="E48" i="1"/>
  <c r="G50" i="1"/>
  <c r="E43" i="1"/>
  <c r="G46" i="1"/>
  <c r="G44" i="1"/>
  <c r="F43" i="1"/>
  <c r="F38" i="1"/>
  <c r="E35" i="1"/>
  <c r="G36" i="1"/>
  <c r="G30" i="1"/>
  <c r="E27" i="1"/>
  <c r="F27" i="1"/>
  <c r="G29" i="1"/>
  <c r="F21" i="1"/>
  <c r="G18" i="1"/>
  <c r="G17" i="1"/>
  <c r="E13" i="1"/>
  <c r="F13" i="1"/>
  <c r="G14" i="1"/>
  <c r="G12" i="1"/>
  <c r="G11" i="1"/>
  <c r="G8" i="1"/>
  <c r="E5" i="1"/>
  <c r="G7" i="1"/>
  <c r="F5" i="1"/>
  <c r="G6" i="1"/>
  <c r="G9" i="1"/>
  <c r="G15" i="1"/>
  <c r="G16" i="1"/>
  <c r="G19" i="1"/>
  <c r="G20" i="1"/>
  <c r="G34" i="1"/>
  <c r="G39" i="1"/>
  <c r="G41" i="1"/>
  <c r="G45" i="1"/>
  <c r="G97" i="1"/>
  <c r="G28" i="1"/>
  <c r="G31" i="1"/>
  <c r="G32" i="1"/>
  <c r="G79" i="1"/>
  <c r="G81" i="1"/>
  <c r="G94" i="1"/>
  <c r="G56" i="1"/>
  <c r="G57" i="1"/>
  <c r="G58" i="1"/>
  <c r="G59" i="1"/>
  <c r="G60" i="1"/>
  <c r="G61" i="1"/>
  <c r="G64" i="1"/>
  <c r="G66" i="1"/>
  <c r="G68" i="1"/>
  <c r="G70" i="1"/>
  <c r="G73" i="1"/>
  <c r="G75" i="1"/>
  <c r="G91" i="1"/>
  <c r="G93" i="1"/>
  <c r="G10" i="1"/>
  <c r="G22" i="1"/>
  <c r="G25" i="1"/>
  <c r="G26" i="1"/>
  <c r="G37" i="1"/>
  <c r="G49" i="1"/>
  <c r="G86" i="1"/>
  <c r="G88" i="1"/>
  <c r="G98" i="1"/>
  <c r="G72" i="1"/>
  <c r="F77" i="1"/>
  <c r="G84" i="1"/>
  <c r="G33" i="1"/>
  <c r="D42" i="1" l="1"/>
  <c r="D4" i="1"/>
  <c r="G96" i="1"/>
  <c r="G83" i="1"/>
  <c r="G77" i="1"/>
  <c r="G48" i="1"/>
  <c r="E42" i="1"/>
  <c r="G43" i="1"/>
  <c r="F42" i="1"/>
  <c r="G38" i="1"/>
  <c r="G27" i="1"/>
  <c r="G21" i="1"/>
  <c r="G13" i="1"/>
  <c r="F4" i="1"/>
  <c r="E4" i="1"/>
  <c r="G5" i="1"/>
  <c r="D3" i="1" l="1"/>
  <c r="E3" i="1"/>
  <c r="G42" i="1"/>
  <c r="F3" i="1"/>
  <c r="G4" i="1"/>
  <c r="G3" i="1" l="1"/>
</calcChain>
</file>

<file path=xl/sharedStrings.xml><?xml version="1.0" encoding="utf-8"?>
<sst xmlns="http://schemas.openxmlformats.org/spreadsheetml/2006/main" count="113" uniqueCount="111">
  <si>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</si>
  <si>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</si>
  <si>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</si>
  <si>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</si>
  <si>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</si>
  <si>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</si>
  <si>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</si>
  <si>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</si>
  <si>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</si>
  <si>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</si>
  <si>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</si>
  <si>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</si>
  <si>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</si>
  <si>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</si>
  <si>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</si>
  <si>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</si>
  <si>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</si>
  <si>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</si>
  <si>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</si>
  <si>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</si>
  <si>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</si>
  <si>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</si>
  <si>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</si>
  <si>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</si>
  <si>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</si>
  <si>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</si>
  <si>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</si>
  <si>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</si>
  <si>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</si>
  <si>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</si>
  <si>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</si>
  <si>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</si>
  <si>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</si>
  <si>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</si>
  <si>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</si>
  <si>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</si>
  <si>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</si>
  <si>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</si>
  <si>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</si>
  <si>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</si>
  <si>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</si>
  <si>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</si>
  <si>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</si>
  <si>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</si>
  <si>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</si>
  <si>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</si>
  <si>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</si>
  <si>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</si>
  <si>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</si>
  <si>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</si>
  <si>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</si>
  <si>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</si>
  <si>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</si>
  <si>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</si>
  <si>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</si>
  <si>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</si>
  <si>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</si>
  <si>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</si>
  <si>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</si>
  <si>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</si>
  <si>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</si>
  <si>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</si>
  <si>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</si>
  <si>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</si>
  <si>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</si>
  <si>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</si>
  <si>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</si>
  <si>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</si>
  <si>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</si>
  <si>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</si>
  <si>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</si>
  <si>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</si>
  <si>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</si>
  <si>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</si>
  <si>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</si>
  <si>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</si>
  <si>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</si>
  <si>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</si>
  <si>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</si>
  <si>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</si>
  <si>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</si>
  <si>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</si>
  <si>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</si>
  <si>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</si>
  <si>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</si>
  <si>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</si>
  <si>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</si>
  <si>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</si>
  <si>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</si>
  <si>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</si>
  <si>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</si>
  <si>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</si>
  <si>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</si>
  <si>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</si>
  <si>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</si>
  <si>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</si>
  <si>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</si>
  <si>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</si>
  <si>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</si>
  <si>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</si>
  <si>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</si>
  <si>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</si>
  <si>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</si>
  <si>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</si>
  <si>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</si>
  <si>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</si>
  <si>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</si>
  <si>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</si>
  <si>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</si>
  <si>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</si>
  <si>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ANALÍTICO DEL ACTIVO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</si>
</sst>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4" fontId="7" fillId="0" borderId="11" xfId="1" applyNumberFormat="1" applyFont="1" applyFill="1" applyBorder="1" applyAlignment="1" applyProtection="1">
      <alignment vertical="top" wrapText="1"/>
      <protection locked="0"/>
    </xf>
    <xf numFmtId="4" fontId="7" fillId="0" borderId="2" xfId="1" applyNumberFormat="1" applyFont="1" applyFill="1" applyBorder="1" applyAlignment="1" applyProtection="1">
      <alignment horizontal="right" vertical="top" wrapText="1"/>
      <protection locked="0"/>
    </xf>
    <xf numFmtId="4" fontId="7" fillId="0" borderId="12" xfId="1" applyNumberFormat="1" applyFont="1" applyFill="1" applyBorder="1" applyAlignment="1" applyProtection="1">
      <alignment vertical="top" wrapText="1"/>
      <protection locked="0"/>
    </xf>
    <xf numFmtId="4" fontId="7" fillId="0" borderId="13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horizontal="right" vertical="top" wrapText="1"/>
      <protection locked="0"/>
    </xf>
    <xf numFmtId="4" fontId="7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13" xfId="2" applyNumberFormat="1" applyFont="1" applyBorder="1" applyAlignment="1" applyProtection="1">
      <alignment vertical="top"/>
      <protection locked="0"/>
    </xf>
    <xf numFmtId="4" fontId="1" fillId="0" borderId="0" xfId="2" applyNumberFormat="1" applyFont="1" applyBorder="1" applyAlignment="1" applyProtection="1">
      <alignment horizontal="right" vertical="top"/>
      <protection locked="0"/>
    </xf>
    <xf numFmtId="4" fontId="1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0" xfId="1" applyNumberFormat="1" applyFont="1" applyFill="1" applyBorder="1" applyAlignment="1" applyProtection="1">
      <alignment horizontal="right" vertical="top" wrapText="1"/>
      <protection locked="0"/>
    </xf>
    <xf numFmtId="4" fontId="1" fillId="0" borderId="13" xfId="2" applyNumberFormat="1" applyFont="1" applyFill="1" applyBorder="1" applyAlignment="1" applyProtection="1">
      <alignment vertical="top"/>
      <protection locked="0"/>
    </xf>
    <xf numFmtId="4" fontId="1" fillId="0" borderId="0" xfId="2" applyNumberFormat="1" applyFont="1" applyFill="1" applyBorder="1" applyAlignment="1" applyProtection="1">
      <alignment horizontal="right" vertical="top"/>
      <protection locked="0"/>
    </xf>
    <xf numFmtId="4" fontId="1" fillId="0" borderId="15" xfId="2" applyNumberFormat="1" applyFont="1" applyBorder="1" applyAlignment="1" applyProtection="1">
      <alignment vertical="top"/>
      <protection locked="0"/>
    </xf>
    <xf numFmtId="4" fontId="1" fillId="0" borderId="16" xfId="1" applyNumberFormat="1" applyFont="1" applyFill="1" applyBorder="1" applyAlignment="1" applyProtection="1">
      <alignment vertical="top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1-1-1-1,F,#4]" advise="1">
        <values>
          <value>
            <val>17000</val>
          </value>
        </values>
      </ddeItem>
      <ddeItem name="@CTA[1-1-1-1,F,#4]{1216}" advise="1">
        <values>
          <value>
            <val>17000</val>
          </value>
        </values>
      </ddeItem>
      <ddeItem name="@CTA[1-1-1-1,J,#4]" advise="1">
        <values>
          <value>
            <val>0</val>
          </value>
        </values>
      </ddeItem>
      <ddeItem name="@CTA[1-1-1-1,K,#4]" advise="1">
        <values>
          <value>
            <val>0</val>
          </value>
        </values>
      </ddeItem>
      <ddeItem name="@CTA[1-1-1-2,F,#4]" advise="1">
        <values>
          <value>
            <val>31033549.749999993</val>
          </value>
        </values>
      </ddeItem>
      <ddeItem name="@CTA[1-1-1-2,F,#4]{1216}" advise="1">
        <values>
          <value>
            <val>26509949.409999989</val>
          </value>
        </values>
      </ddeItem>
      <ddeItem name="@CTA[1-1-1-2,J,#4]" advise="1">
        <values>
          <value>
            <val>20969608.93</val>
          </value>
        </values>
      </ddeItem>
      <ddeItem name="@CTA[1-1-1-2,K,#4]" advise="1">
        <values>
          <value>
            <val>16446008.59</val>
          </value>
        </values>
      </ddeItem>
      <ddeItem name="@CTA[1-1-1-3,F,#4]" advise="1">
        <values>
          <value t="nil">
            <val>1</val>
          </value>
        </values>
      </ddeItem>
      <ddeItem name="@CTA[1-1-1-3,F,#4]{1216}" advise="1">
        <values>
          <value t="nil">
            <val>1</val>
          </value>
        </values>
      </ddeItem>
      <ddeItem name="@CTA[1-1-1-3,J,#4]" advise="1">
        <values>
          <value t="nil">
            <val>1</val>
          </value>
        </values>
      </ddeItem>
      <ddeItem name="@CTA[1-1-1-3,K,#4]" advise="1">
        <values>
          <value t="nil">
            <val>1</val>
          </value>
        </values>
      </ddeItem>
      <ddeItem name="@CTA[1-1-1-4,F,#4]" advise="1">
        <values>
          <value>
            <val>1144169.75</val>
          </value>
        </values>
      </ddeItem>
      <ddeItem name="@CTA[1-1-1-4,F,#4]{1216}" advise="1">
        <values>
          <value>
            <val>1129865.6400000001</val>
          </value>
        </values>
      </ddeItem>
      <ddeItem name="@CTA[1-1-1-4,J,#4]" advise="1">
        <values>
          <value>
            <val>14304.11</val>
          </value>
        </values>
      </ddeItem>
      <ddeItem name="@CTA[1-1-1-4,K,#4]" advise="1">
        <values>
          <value>
            <val>0</val>
          </value>
        </values>
      </ddeItem>
      <ddeItem name="@CTA[1-1-1-5,F,#4]" advise="1">
        <values>
          <value t="nil">
            <val>1</val>
          </value>
        </values>
      </ddeItem>
      <ddeItem name="@CTA[1-1-1-5,F,#4]{1216}" advise="1">
        <values>
          <value t="nil">
            <val>1</val>
          </value>
        </values>
      </ddeItem>
      <ddeItem name="@CTA[1-1-1-5,J,#4]" advise="1">
        <values>
          <value t="nil">
            <val>1</val>
          </value>
        </values>
      </ddeItem>
      <ddeItem name="@CTA[1-1-1-5,K,#4]" advise="1">
        <values>
          <value t="nil">
            <val>1</val>
          </value>
        </values>
      </ddeItem>
      <ddeItem name="@CTA[1-1-1-6,F,#4]" advise="1">
        <values>
          <value>
            <val>206080.6</val>
          </value>
        </values>
      </ddeItem>
      <ddeItem name="@CTA[1-1-1-6,F,#4]{1216}" advise="1">
        <values>
          <value>
            <val>206080.6</val>
          </value>
        </values>
      </ddeItem>
      <ddeItem name="@CTA[1-1-1-6,J,#4]" advise="1">
        <values>
          <value>
            <val>0</val>
          </value>
        </values>
      </ddeItem>
      <ddeItem name="@CTA[1-1-1-6,K,#4]" advise="1">
        <values>
          <value>
            <val>0</val>
          </value>
        </values>
      </ddeItem>
      <ddeItem name="@CTA[1-1-1-9,F,#4]" advise="1">
        <values>
          <value t="nil">
            <val>1</val>
          </value>
        </values>
      </ddeItem>
      <ddeItem name="@CTA[1-1-1-9,F,#4]{1216}" advise="1">
        <values>
          <value t="nil">
            <val>1</val>
          </value>
        </values>
      </ddeItem>
      <ddeItem name="@CTA[1-1-1-9,J,#4]" advise="1">
        <values>
          <value t="nil">
            <val>1</val>
          </value>
        </values>
      </ddeItem>
      <ddeItem name="@CTA[1-1-1-9,K,#4]" advise="1">
        <values>
          <value t="nil">
            <val>1</val>
          </value>
        </values>
      </ddeItem>
      <ddeItem name="@CTA[1-1-2-1,F,#4]" advise="1">
        <values>
          <value t="nil">
            <val>1</val>
          </value>
        </values>
      </ddeItem>
      <ddeItem name="@CTA[1-1-2-1,F,#4]{1216}" advise="1">
        <values>
          <value t="nil">
            <val>1</val>
          </value>
        </values>
      </ddeItem>
      <ddeItem name="@CTA[1-1-2-1,J,#4]" advise="1">
        <values>
          <value t="nil">
            <val>1</val>
          </value>
        </values>
      </ddeItem>
      <ddeItem name="@CTA[1-1-2-1,K,#4]" advise="1">
        <values>
          <value t="nil">
            <val>1</val>
          </value>
        </values>
      </ddeItem>
      <ddeItem name="@CTA[1-1-2-2,F,#4]" advise="1">
        <values>
          <value>
            <val>3692367.4700000063</val>
          </value>
        </values>
      </ddeItem>
      <ddeItem name="@CTA[1-1-2-2,F,#4]{1216}" advise="1">
        <values>
          <value>
            <val>4108691.2100000065</val>
          </value>
        </values>
      </ddeItem>
      <ddeItem name="@CTA[1-1-2-2,J,#4]" advise="1">
        <values>
          <value>
            <val>2061872.9399999995</val>
          </value>
        </values>
      </ddeItem>
      <ddeItem name="@CTA[1-1-2-2,K,#4]" advise="1">
        <values>
          <value>
            <val>2478196.6799999997</val>
          </value>
        </values>
      </ddeItem>
      <ddeItem name="@CTA[1-1-2-3,F,#4]" advise="1">
        <values>
          <value>
            <val>5108.7300000000068</val>
          </value>
        </values>
      </ddeItem>
      <ddeItem name="@CTA[1-1-2-3,F,#4]{1216}" advise="1">
        <values>
          <value>
            <val>4373.5100000000239</val>
          </value>
        </values>
      </ddeItem>
      <ddeItem name="@CTA[1-1-2-3,J,#4]" advise="1">
        <values>
          <value>
            <val>44535.7</val>
          </value>
        </values>
      </ddeItem>
      <ddeItem name="@CTA[1-1-2-3,K,#4]" advise="1">
        <values>
          <value>
            <val>43800.480000000003</val>
          </value>
        </values>
      </ddeItem>
      <ddeItem name="@CTA[1-1-2-4,F,#4]" advise="1">
        <values>
          <value>
            <val>-0.67999999970197678</val>
          </value>
        </values>
      </ddeItem>
      <ddeItem name="@CTA[1-1-2-4,F,#4]{1216}" advise="1">
        <values>
          <value>
            <val>-0.67999999970197678</val>
          </value>
        </values>
      </ddeItem>
      <ddeItem name="@CTA[1-1-2-4,J,#4]" advise="1">
        <values>
          <value>
            <val>36398534.019999996</val>
          </value>
        </values>
      </ddeItem>
      <ddeItem name="@CTA[1-1-2-4,K,#4]" advise="1">
        <values>
          <value>
            <val>36398534.019999996</val>
          </value>
        </values>
      </ddeItem>
      <ddeItem name="@CTA[1-1-2-5,F,#4]" advise="1">
        <values>
          <value t="nil">
            <val>1</val>
          </value>
        </values>
      </ddeItem>
      <ddeItem name="@CTA[1-1-2-5,F,#4]{1216}" advise="1">
        <values>
          <value t="nil">
            <val>1</val>
          </value>
        </values>
      </ddeItem>
      <ddeItem name="@CTA[1-1-2-5,J,#4]" advise="1">
        <values>
          <value t="nil">
            <val>1</val>
          </value>
        </values>
      </ddeItem>
      <ddeItem name="@CTA[1-1-2-5,K,#4]" advise="1">
        <values>
          <value t="nil">
            <val>1</val>
          </value>
        </values>
      </ddeItem>
      <ddeItem name="@CTA[1-1-2-6,F,#4]" advise="1">
        <values>
          <value t="nil">
            <val>1</val>
          </value>
        </values>
      </ddeItem>
      <ddeItem name="@CTA[1-1-2-6,F,#4]{1216}" advise="1">
        <values>
          <value t="nil">
            <val>1</val>
          </value>
        </values>
      </ddeItem>
      <ddeItem name="@CTA[1-1-2-6,J,#4]" advise="1">
        <values>
          <value t="nil">
            <val>1</val>
          </value>
        </values>
      </ddeItem>
      <ddeItem name="@CTA[1-1-2-6,K,#4]" advise="1">
        <values>
          <value t="nil">
            <val>1</val>
          </value>
        </values>
      </ddeItem>
      <ddeItem name="@CTA[1-1-2-9,F,#4]" advise="1">
        <values>
          <value t="nil">
            <val>1</val>
          </value>
        </values>
      </ddeItem>
      <ddeItem name="@CTA[1-1-2-9,F,#4]{1216}" advise="1">
        <values>
          <value t="nil">
            <val>1</val>
          </value>
        </values>
      </ddeItem>
      <ddeItem name="@CTA[1-1-2-9,J,#4]" advise="1">
        <values>
          <value t="nil">
            <val>1</val>
          </value>
        </values>
      </ddeItem>
      <ddeItem name="@CTA[1-1-2-9,K,#4]" advise="1">
        <values>
          <value t="nil">
            <val>1</val>
          </value>
        </values>
      </ddeItem>
      <ddeItem name="@CTA[1-1-3-1,F,#4]" advise="1">
        <values>
          <value>
            <val>446597.45999999996</val>
          </value>
        </values>
      </ddeItem>
      <ddeItem name="@CTA[1-1-3-1,F,#4]{1216}" advise="1">
        <values>
          <value>
            <val>31610.000000000007</val>
          </value>
        </values>
      </ddeItem>
      <ddeItem name="@CTA[1-1-3-1,J,#4]" advise="1">
        <values>
          <value>
            <val>727439.2</val>
          </value>
        </values>
      </ddeItem>
      <ddeItem name="@CTA[1-1-3-1,K,#4]" advise="1">
        <values>
          <value>
            <val>312451.74</val>
          </value>
        </values>
      </ddeItem>
      <ddeItem name="@CTA[1-1-3-2,F,#4]" advise="1">
        <values>
          <value t="nil">
            <val>1</val>
          </value>
        </values>
      </ddeItem>
      <ddeItem name="@CTA[1-1-3-2,F,#4]{1216}" advise="1">
        <values>
          <value t="nil">
            <val>1</val>
          </value>
        </values>
      </ddeItem>
      <ddeItem name="@CTA[1-1-3-2,J,#4]" advise="1">
        <values>
          <value t="nil">
            <val>1</val>
          </value>
        </values>
      </ddeItem>
      <ddeItem name="@CTA[1-1-3-2,K,#4]" advise="1">
        <values>
          <value t="nil">
            <val>1</val>
          </value>
        </values>
      </ddeItem>
      <ddeItem name="@CTA[1-1-3-3,F,#4]" advise="1">
        <values>
          <value t="nil">
            <val>1</val>
          </value>
        </values>
      </ddeItem>
      <ddeItem name="@CTA[1-1-3-3,F,#4]{1216}" advise="1">
        <values>
          <value t="nil">
            <val>1</val>
          </value>
        </values>
      </ddeItem>
      <ddeItem name="@CTA[1-1-3-3,J,#4]" advise="1">
        <values>
          <value t="nil">
            <val>1</val>
          </value>
        </values>
      </ddeItem>
      <ddeItem name="@CTA[1-1-3-3,K,#4]" advise="1">
        <values>
          <value t="nil">
            <val>1</val>
          </value>
        </values>
      </ddeItem>
      <ddeItem name="@CTA[1-1-3-4,F,#4]" advise="1">
        <values>
          <value t="nil">
            <val>1</val>
          </value>
        </values>
      </ddeItem>
      <ddeItem name="@CTA[1-1-3-4,F,#4]{1216}" advise="1">
        <values>
          <value t="nil">
            <val>1</val>
          </value>
        </values>
      </ddeItem>
      <ddeItem name="@CTA[1-1-3-4,J,#4]" advise="1">
        <values>
          <value t="nil">
            <val>1</val>
          </value>
        </values>
      </ddeItem>
      <ddeItem name="@CTA[1-1-3-4,K,#4]" advise="1">
        <values>
          <value t="nil">
            <val>1</val>
          </value>
        </values>
      </ddeItem>
      <ddeItem name="@CTA[1-1-3-9,F,#4]" advise="1">
        <values>
          <value t="nil">
            <val>1</val>
          </value>
        </values>
      </ddeItem>
      <ddeItem name="@CTA[1-1-3-9,F,#4]{1216}" advise="1">
        <values>
          <value t="nil">
            <val>1</val>
          </value>
        </values>
      </ddeItem>
      <ddeItem name="@CTA[1-1-3-9,J,#4]" advise="1">
        <values>
          <value t="nil">
            <val>1</val>
          </value>
        </values>
      </ddeItem>
      <ddeItem name="@CTA[1-1-3-9,K,#4]" advise="1">
        <values>
          <value t="nil">
            <val>1</val>
          </value>
        </values>
      </ddeItem>
      <ddeItem name="@CTA[1-1-4-1,F,#4]" advise="1">
        <values>
          <value t="nil">
            <val>1</val>
          </value>
        </values>
      </ddeItem>
      <ddeItem name="@CTA[1-1-4-1,F,#4]{1216}" advise="1">
        <values>
          <value t="nil">
            <val>1</val>
          </value>
        </values>
      </ddeItem>
      <ddeItem name="@CTA[1-1-4-1,J,#4]" advise="1">
        <values>
          <value t="nil">
            <val>1</val>
          </value>
        </values>
      </ddeItem>
      <ddeItem name="@CTA[1-1-4-1,K,#4]" advise="1">
        <values>
          <value t="nil">
            <val>1</val>
          </value>
        </values>
      </ddeItem>
      <ddeItem name="@CTA[1-1-4-2,F,#4]" advise="1">
        <values>
          <value t="nil">
            <val>1</val>
          </value>
        </values>
      </ddeItem>
      <ddeItem name="@CTA[1-1-4-2,F,#4]{1216}" advise="1">
        <values>
          <value t="nil">
            <val>1</val>
          </value>
        </values>
      </ddeItem>
      <ddeItem name="@CTA[1-1-4-2,J,#4]" advise="1">
        <values>
          <value t="nil">
            <val>1</val>
          </value>
        </values>
      </ddeItem>
      <ddeItem name="@CTA[1-1-4-2,K,#4]" advise="1">
        <values>
          <value t="nil">
            <val>1</val>
          </value>
        </values>
      </ddeItem>
      <ddeItem name="@CTA[1-1-4-3,F,#4]" advise="1">
        <values>
          <value t="nil">
            <val>1</val>
          </value>
        </values>
      </ddeItem>
      <ddeItem name="@CTA[1-1-4-3,F,#4]{1216}" advise="1">
        <values>
          <value t="nil">
            <val>1</val>
          </value>
        </values>
      </ddeItem>
      <ddeItem name="@CTA[1-1-4-3,J,#4]" advise="1">
        <values>
          <value t="nil">
            <val>1</val>
          </value>
        </values>
      </ddeItem>
      <ddeItem name="@CTA[1-1-4-3,K,#4]" advise="1">
        <values>
          <value t="nil">
            <val>1</val>
          </value>
        </values>
      </ddeItem>
      <ddeItem name="@CTA[1-1-4-4,F,#4]" advise="1">
        <values>
          <value t="nil">
            <val>1</val>
          </value>
        </values>
      </ddeItem>
      <ddeItem name="@CTA[1-1-4-4,F,#4]{1216}" advise="1">
        <values>
          <value t="nil">
            <val>1</val>
          </value>
        </values>
      </ddeItem>
      <ddeItem name="@CTA[1-1-4-4,J,#4]" advise="1">
        <values>
          <value t="nil">
            <val>1</val>
          </value>
        </values>
      </ddeItem>
      <ddeItem name="@CTA[1-1-4-4,K,#4]" advise="1">
        <values>
          <value t="nil">
            <val>1</val>
          </value>
        </values>
      </ddeItem>
      <ddeItem name="@CTA[1-1-4-5,F,#4]" advise="1">
        <values>
          <value t="nil">
            <val>1</val>
          </value>
        </values>
      </ddeItem>
      <ddeItem name="@CTA[1-1-4-5,F,#4]{1216}" advise="1">
        <values>
          <value t="nil">
            <val>1</val>
          </value>
        </values>
      </ddeItem>
      <ddeItem name="@CTA[1-1-4-5,J,#4]" advise="1">
        <values>
          <value t="nil">
            <val>1</val>
          </value>
        </values>
      </ddeItem>
      <ddeItem name="@CTA[1-1-4-5,K,#4]" advise="1">
        <values>
          <value t="nil">
            <val>1</val>
          </value>
        </values>
      </ddeItem>
      <ddeItem name="@CTA[1-1-5-1,F,#4]" advise="1">
        <values>
          <value>
            <val>940470.32000000181</val>
          </value>
        </values>
      </ddeItem>
      <ddeItem name="@CTA[1-1-5-1,F,#4]{1216}" advise="1">
        <values>
          <value>
            <val>1167790.5200000021</val>
          </value>
        </values>
      </ddeItem>
      <ddeItem name="@CTA[1-1-5-1,J,#4]" advise="1">
        <values>
          <value>
            <val>547551.15999999992</val>
          </value>
        </values>
      </ddeItem>
      <ddeItem name="@CTA[1-1-5-1,K,#4]" advise="1">
        <values>
          <value>
            <val>774871.3600000001</val>
          </value>
        </values>
      </ddeItem>
      <ddeItem name="@CTA[1-1-6-1,F,#4]" advise="1">
        <values>
          <value t="nil">
            <val>1</val>
          </value>
        </values>
      </ddeItem>
      <ddeItem name="@CTA[1-1-6-1,F,#4]{1216}" advise="1">
        <values>
          <value t="nil">
            <val>1</val>
          </value>
        </values>
      </ddeItem>
      <ddeItem name="@CTA[1-1-6-1,J,#4]" advise="1">
        <values>
          <value t="nil">
            <val>1</val>
          </value>
        </values>
      </ddeItem>
      <ddeItem name="@CTA[1-1-6-1,K,#4]" advise="1">
        <values>
          <value t="nil">
            <val>1</val>
          </value>
        </values>
      </ddeItem>
      <ddeItem name="@CTA[1-1-6-2,F,#4]" advise="1">
        <values>
          <value t="nil">
            <val>1</val>
          </value>
        </values>
      </ddeItem>
      <ddeItem name="@CTA[1-1-6-2,F,#4]{1216}" advise="1">
        <values>
          <value t="nil">
            <val>1</val>
          </value>
        </values>
      </ddeItem>
      <ddeItem name="@CTA[1-1-6-2,J,#4]" advise="1">
        <values>
          <value t="nil">
            <val>1</val>
          </value>
        </values>
      </ddeItem>
      <ddeItem name="@CTA[1-1-6-2,K,#4]" advise="1">
        <values>
          <value t="nil">
            <val>1</val>
          </value>
        </values>
      </ddeItem>
      <ddeItem name="@CTA[1-1-9-1,F,#4]" advise="1">
        <values>
          <value>
            <val>0</val>
          </value>
        </values>
      </ddeItem>
      <ddeItem name="@CTA[1-1-9-1,F,#4]{1216}" advise="1">
        <values>
          <value>
            <val>0</val>
          </value>
        </values>
      </ddeItem>
      <ddeItem name="@CTA[1-1-9-1,J,#4]" advise="1">
        <values>
          <value>
            <val>0</val>
          </value>
        </values>
      </ddeItem>
      <ddeItem name="@CTA[1-1-9-1,K,#4]" advise="1">
        <values>
          <value>
            <val>0</val>
          </value>
        </values>
      </ddeItem>
      <ddeItem name="@CTA[1-1-9-2,F,#4]" advise="1">
        <values>
          <value t="nil">
            <val>1</val>
          </value>
        </values>
      </ddeItem>
      <ddeItem name="@CTA[1-1-9-2,F,#4]{1216}" advise="1">
        <values>
          <value t="nil">
            <val>1</val>
          </value>
        </values>
      </ddeItem>
      <ddeItem name="@CTA[1-1-9-2,J,#4]" advise="1">
        <values>
          <value t="nil">
            <val>1</val>
          </value>
        </values>
      </ddeItem>
      <ddeItem name="@CTA[1-1-9-2,K,#4]" advise="1">
        <values>
          <value t="nil">
            <val>1</val>
          </value>
        </values>
      </ddeItem>
      <ddeItem name="@CTA[1-1-9-3,F,#4]" advise="1">
        <values>
          <value t="nil">
            <val>1</val>
          </value>
        </values>
      </ddeItem>
      <ddeItem name="@CTA[1-1-9-3,F,#4]{1216}" advise="1">
        <values>
          <value t="nil">
            <val>1</val>
          </value>
        </values>
      </ddeItem>
      <ddeItem name="@CTA[1-1-9-3,J,#4]" advise="1">
        <values>
          <value t="nil">
            <val>1</val>
          </value>
        </values>
      </ddeItem>
      <ddeItem name="@CTA[1-1-9-3,K,#4]" advise="1">
        <values>
          <value t="nil">
            <val>1</val>
          </value>
        </values>
      </ddeItem>
      <ddeItem name="@CTA[1-2-1-1,F,#4]" advise="1">
        <values>
          <value t="nil">
            <val>1</val>
          </value>
        </values>
      </ddeItem>
      <ddeItem name="@CTA[1-2-1-1,F,#4]{1216}" advise="1">
        <values>
          <value t="nil">
            <val>1</val>
          </value>
        </values>
      </ddeItem>
      <ddeItem name="@CTA[1-2-1-1,J,#4]" advise="1">
        <values>
          <value t="nil">
            <val>1</val>
          </value>
        </values>
      </ddeItem>
      <ddeItem name="@CTA[1-2-1-1,K,#4]" advise="1">
        <values>
          <value t="nil">
            <val>1</val>
          </value>
        </values>
      </ddeItem>
      <ddeItem name="@CTA[1-2-1-2,F,#4]" advise="1">
        <values>
          <value t="nil">
            <val>1</val>
          </value>
        </values>
      </ddeItem>
      <ddeItem name="@CTA[1-2-1-2,F,#4]{1216}" advise="1">
        <values>
          <value t="nil">
            <val>1</val>
          </value>
        </values>
      </ddeItem>
      <ddeItem name="@CTA[1-2-1-2,J,#4]" advise="1">
        <values>
          <value t="nil">
            <val>1</val>
          </value>
        </values>
      </ddeItem>
      <ddeItem name="@CTA[1-2-1-2,K,#4]" advise="1">
        <values>
          <value t="nil">
            <val>1</val>
          </value>
        </values>
      </ddeItem>
      <ddeItem name="@CTA[1-2-1-3,F,#4]" advise="1">
        <values>
          <value t="nil">
            <val>1</val>
          </value>
        </values>
      </ddeItem>
      <ddeItem name="@CTA[1-2-1-3,F,#4]{1216}" advise="1">
        <values>
          <value t="nil">
            <val>1</val>
          </value>
        </values>
      </ddeItem>
      <ddeItem name="@CTA[1-2-1-3,J,#4]" advise="1">
        <values>
          <value t="nil">
            <val>1</val>
          </value>
        </values>
      </ddeItem>
      <ddeItem name="@CTA[1-2-1-3,K,#4]" advise="1">
        <values>
          <value t="nil">
            <val>1</val>
          </value>
        </values>
      </ddeItem>
      <ddeItem name="@CTA[1-2-1-4,F,#4]" advise="1">
        <values>
          <value t="nil">
            <val>1</val>
          </value>
        </values>
      </ddeItem>
      <ddeItem name="@CTA[1-2-1-4,F,#4]{1216}" advise="1">
        <values>
          <value t="nil">
            <val>1</val>
          </value>
        </values>
      </ddeItem>
      <ddeItem name="@CTA[1-2-1-4,J,#4]" advise="1">
        <values>
          <value t="nil">
            <val>1</val>
          </value>
        </values>
      </ddeItem>
      <ddeItem name="@CTA[1-2-1-4,K,#4]" advise="1">
        <values>
          <value t="nil">
            <val>1</val>
          </value>
        </values>
      </ddeItem>
      <ddeItem name="@CTA[1-2-2-1,F,#4]" advise="1">
        <values>
          <value t="nil">
            <val>1</val>
          </value>
        </values>
      </ddeItem>
      <ddeItem name="@CTA[1-2-2-1,F,#4]{1216}" advise="1">
        <values>
          <value t="nil">
            <val>1</val>
          </value>
        </values>
      </ddeItem>
      <ddeItem name="@CTA[1-2-2-1,J,#4]" advise="1">
        <values>
          <value t="nil">
            <val>1</val>
          </value>
        </values>
      </ddeItem>
      <ddeItem name="@CTA[1-2-2-1,K,#4]" advise="1">
        <values>
          <value t="nil">
            <val>1</val>
          </value>
        </values>
      </ddeItem>
      <ddeItem name="@CTA[1-2-2-2,F,#4]" advise="1">
        <values>
          <value t="nil">
            <val>1</val>
          </value>
        </values>
      </ddeItem>
      <ddeItem name="@CTA[1-2-2-2,F,#4]{1216}" advise="1">
        <values>
          <value t="nil">
            <val>1</val>
          </value>
        </values>
      </ddeItem>
      <ddeItem name="@CTA[1-2-2-2,J,#4]" advise="1">
        <values>
          <value t="nil">
            <val>1</val>
          </value>
        </values>
      </ddeItem>
      <ddeItem name="@CTA[1-2-2-2,K,#4]" advise="1">
        <values>
          <value t="nil">
            <val>1</val>
          </value>
        </values>
      </ddeItem>
      <ddeItem name="@CTA[1-2-2-3,F,#4]" advise="1">
        <values>
          <value t="nil">
            <val>1</val>
          </value>
        </values>
      </ddeItem>
      <ddeItem name="@CTA[1-2-2-3,F,#4]{1216}" advise="1">
        <values>
          <value t="nil">
            <val>1</val>
          </value>
        </values>
      </ddeItem>
      <ddeItem name="@CTA[1-2-2-3,J,#4]" advise="1">
        <values>
          <value t="nil">
            <val>1</val>
          </value>
        </values>
      </ddeItem>
      <ddeItem name="@CTA[1-2-2-3,K,#4]" advise="1">
        <values>
          <value t="nil">
            <val>1</val>
          </value>
        </values>
      </ddeItem>
      <ddeItem name="@CTA[1-2-2-4,F,#4]" advise="1">
        <values>
          <value t="nil">
            <val>1</val>
          </value>
        </values>
      </ddeItem>
      <ddeItem name="@CTA[1-2-2-4,F,#4]{1216}" advise="1">
        <values>
          <value t="nil">
            <val>1</val>
          </value>
        </values>
      </ddeItem>
      <ddeItem name="@CTA[1-2-2-4,J,#4]" advise="1">
        <values>
          <value t="nil">
            <val>1</val>
          </value>
        </values>
      </ddeItem>
      <ddeItem name="@CTA[1-2-2-4,K,#4]" advise="1">
        <values>
          <value t="nil">
            <val>1</val>
          </value>
        </values>
      </ddeItem>
      <ddeItem name="@CTA[1-2-2-9,F,#4]" advise="1">
        <values>
          <value t="nil">
            <val>1</val>
          </value>
        </values>
      </ddeItem>
      <ddeItem name="@CTA[1-2-2-9,F,#4]{1216}" advise="1">
        <values>
          <value t="nil">
            <val>1</val>
          </value>
        </values>
      </ddeItem>
      <ddeItem name="@CTA[1-2-2-9,J,#4]" advise="1">
        <values>
          <value t="nil">
            <val>1</val>
          </value>
        </values>
      </ddeItem>
      <ddeItem name="@CTA[1-2-2-9,K,#4]" advise="1">
        <values>
          <value t="nil">
            <val>1</val>
          </value>
        </values>
      </ddeItem>
      <ddeItem name="@CTA[1-2-3-1,F,#4]" advise="1">
        <values>
          <value>
            <val>2484173.17</val>
          </value>
        </values>
      </ddeItem>
      <ddeItem name="@CTA[1-2-3-1,F,#4]{1216}" advise="1">
        <values>
          <value>
            <val>2424173.17</val>
          </value>
        </values>
      </ddeItem>
      <ddeItem name="@CTA[1-2-3-1,J,#4]" advise="1">
        <values>
          <value>
            <val>60000</val>
          </value>
        </values>
      </ddeItem>
      <ddeItem name="@CTA[1-2-3-1,K,#4]" advise="1">
        <values>
          <value>
            <val>0</val>
          </value>
        </values>
      </ddeItem>
      <ddeItem name="@CTA[1-2-3-2,F,#4]" advise="1">
        <values>
          <value t="nil">
            <val>1</val>
          </value>
        </values>
      </ddeItem>
      <ddeItem name="@CTA[1-2-3-2,F,#4]{1216}" advise="1">
        <values>
          <value t="nil">
            <val>1</val>
          </value>
        </values>
      </ddeItem>
      <ddeItem name="@CTA[1-2-3-2,J,#4]" advise="1">
        <values>
          <value t="nil">
            <val>1</val>
          </value>
        </values>
      </ddeItem>
      <ddeItem name="@CTA[1-2-3-2,K,#4]" advise="1">
        <values>
          <value t="nil">
            <val>1</val>
          </value>
        </values>
      </ddeItem>
      <ddeItem name="@CTA[1-2-3-3,F,#4]" advise="1">
        <values>
          <value>
            <val>3342729.2</val>
          </value>
        </values>
      </ddeItem>
      <ddeItem name="@CTA[1-2-3-3,F,#4]{1216}" advise="1">
        <values>
          <value>
            <val>3342729.2</val>
          </value>
        </values>
      </ddeItem>
      <ddeItem name="@CTA[1-2-3-3,J,#4]" advise="1">
        <values>
          <value>
            <val>0</val>
          </value>
        </values>
      </ddeItem>
      <ddeItem name="@CTA[1-2-3-3,K,#4]" advise="1">
        <values>
          <value>
            <val>0</val>
          </value>
        </values>
      </ddeItem>
      <ddeItem name="@CTA[1-2-3-4,F,#4]" advise="1">
        <values>
          <value>
            <val>97680267.049999997</val>
          </value>
        </values>
      </ddeItem>
      <ddeItem name="@CTA[1-2-3-4,F,#4]{1216}" advise="1">
        <values>
          <value>
            <val>93577173.790000007</val>
          </value>
        </values>
      </ddeItem>
      <ddeItem name="@CTA[1-2-3-4,J,#4]" advise="1">
        <values>
          <value>
            <val>4103093.2600000002</val>
          </value>
        </values>
      </ddeItem>
      <ddeItem name="@CTA[1-2-3-4,K,#4]" advise="1">
        <values>
          <value>
            <val>0</val>
          </value>
        </values>
      </ddeItem>
      <ddeItem name="@CTA[1-2-3-5,F,#4]" advise="1">
        <values>
          <value>
            <val>6264847.9099999983</val>
          </value>
        </values>
      </ddeItem>
      <ddeItem name="@CTA[1-2-3-5,F,#4]{1216}" advise="1">
        <values>
          <value>
            <val>5377821.549999997</val>
          </value>
        </values>
      </ddeItem>
      <ddeItem name="@CTA[1-2-3-5,J,#4]" advise="1">
        <values>
          <value>
            <val>3431331.9600000004</val>
          </value>
        </values>
      </ddeItem>
      <ddeItem name="@CTA[1-2-3-5,K,#4]" advise="1">
        <values>
          <value>
            <val>2544305.6</val>
          </value>
        </values>
      </ddeItem>
      <ddeItem name="@CTA[1-2-3-6,F,#4]" advise="1">
        <values>
          <value t="nil">
            <val>1</val>
          </value>
        </values>
      </ddeItem>
      <ddeItem name="@CTA[1-2-3-6,F,#4]{1216}" advise="1">
        <values>
          <value t="nil">
            <val>1</val>
          </value>
        </values>
      </ddeItem>
      <ddeItem name="@CTA[1-2-3-6,J,#4]" advise="1">
        <values>
          <value t="nil">
            <val>1</val>
          </value>
        </values>
      </ddeItem>
      <ddeItem name="@CTA[1-2-3-6,K,#4]" advise="1">
        <values>
          <value t="nil">
            <val>1</val>
          </value>
        </values>
      </ddeItem>
      <ddeItem name="@CTA[1-2-3-9,F,#4]" advise="1">
        <values>
          <value t="nil">
            <val>1</val>
          </value>
        </values>
      </ddeItem>
      <ddeItem name="@CTA[1-2-3-9,F,#4]{1216}" advise="1">
        <values>
          <value t="nil">
            <val>1</val>
          </value>
        </values>
      </ddeItem>
      <ddeItem name="@CTA[1-2-3-9,J,#4]" advise="1">
        <values>
          <value t="nil">
            <val>1</val>
          </value>
        </values>
      </ddeItem>
      <ddeItem name="@CTA[1-2-3-9,K,#4]" advise="1">
        <values>
          <value t="nil">
            <val>1</val>
          </value>
        </values>
      </ddeItem>
      <ddeItem name="@CTA[1-2-4-1,F,#4]" advise="1">
        <values>
          <value>
            <val>3012688.8600000003</val>
          </value>
        </values>
      </ddeItem>
      <ddeItem name="@CTA[1-2-4-1,F,#4]{1216}" advise="1">
        <values>
          <value>
            <val>2994823.3800000004</val>
          </value>
        </values>
      </ddeItem>
      <ddeItem name="@CTA[1-2-4-1,J,#4]" advise="1">
        <values>
          <value>
            <val>17865.48</val>
          </value>
        </values>
      </ddeItem>
      <ddeItem name="@CTA[1-2-4-1,K,#4]" advise="1">
        <values>
          <value>
            <val>0</val>
          </value>
        </values>
      </ddeItem>
      <ddeItem name="@CTA[1-2-4-2,F,#4]" advise="1">
        <values>
          <value>
            <val>235883.55000000002</val>
          </value>
        </values>
      </ddeItem>
      <ddeItem name="@CTA[1-2-4-2,F,#4]{1216}" advise="1">
        <values>
          <value>
            <val>211824.33000000002</val>
          </value>
        </values>
      </ddeItem>
      <ddeItem name="@CTA[1-2-4-2,J,#4]" advise="1">
        <values>
          <value>
            <val>24059.22</val>
          </value>
        </values>
      </ddeItem>
      <ddeItem name="@CTA[1-2-4-2,K,#4]" advise="1">
        <values>
          <value>
            <val>0</val>
          </value>
        </values>
      </ddeItem>
      <ddeItem name="@CTA[1-2-4-3,F,#4]" advise="1">
        <values>
          <value t="nil">
            <val>1</val>
          </value>
        </values>
      </ddeItem>
      <ddeItem name="@CTA[1-2-4-3,F,#4]{1216}" advise="1">
        <values>
          <value t="nil">
            <val>1</val>
          </value>
        </values>
      </ddeItem>
      <ddeItem name="@CTA[1-2-4-3,J,#4]" advise="1">
        <values>
          <value t="nil">
            <val>1</val>
          </value>
        </values>
      </ddeItem>
      <ddeItem name="@CTA[1-2-4-3,K,#4]" advise="1">
        <values>
          <value t="nil">
            <val>1</val>
          </value>
        </values>
      </ddeItem>
      <ddeItem name="@CTA[1-2-4-4,F,#4]" advise="1">
        <values>
          <value>
            <val>2178928.9999999995</val>
          </value>
        </values>
      </ddeItem>
      <ddeItem name="@CTA[1-2-4-4,F,#4]{1216}" advise="1">
        <values>
          <value>
            <val>2173330.3799999994</val>
          </value>
        </values>
      </ddeItem>
      <ddeItem name="@CTA[1-2-4-4,J,#4]" advise="1">
        <values>
          <value>
            <val>22758.62</val>
          </value>
        </values>
      </ddeItem>
      <ddeItem name="@CTA[1-2-4-4,K,#4]" advise="1">
        <values>
          <value>
            <val>17160</val>
          </value>
        </values>
      </ddeItem>
      <ddeItem name="@CTA[1-2-4-5,F,#4]" advise="1">
        <values>
          <value t="nil">
            <val>1</val>
          </value>
        </values>
      </ddeItem>
      <ddeItem name="@CTA[1-2-4-5,F,#4]{1216}" advise="1">
        <values>
          <value t="nil">
            <val>1</val>
          </value>
        </values>
      </ddeItem>
      <ddeItem name="@CTA[1-2-4-5,J,#4]" advise="1">
        <values>
          <value t="nil">
            <val>1</val>
          </value>
        </values>
      </ddeItem>
      <ddeItem name="@CTA[1-2-4-5,K,#4]" advise="1">
        <values>
          <value t="nil">
            <val>1</val>
          </value>
        </values>
      </ddeItem>
      <ddeItem name="@CTA[1-2-4-6,F,#4]" advise="1">
        <values>
          <value>
            <val>3588647.1999999993</val>
          </value>
        </values>
      </ddeItem>
      <ddeItem name="@CTA[1-2-4-6,F,#4]{1216}" advise="1">
        <values>
          <value>
            <val>3622810.1099999989</val>
          </value>
        </values>
      </ddeItem>
      <ddeItem name="@CTA[1-2-4-6,J,#4]" advise="1">
        <values>
          <value>
            <val>0</val>
          </value>
        </values>
      </ddeItem>
      <ddeItem name="@CTA[1-2-4-6,K,#4]" advise="1">
        <values>
          <value>
            <val>34162.910000000003</val>
          </value>
        </values>
      </ddeItem>
      <ddeItem name="@CTA[1-2-4-7,F,#4]" advise="1">
        <values>
          <value t="nil">
            <val>1</val>
          </value>
        </values>
      </ddeItem>
      <ddeItem name="@CTA[1-2-4-7,F,#4]{1216}" advise="1">
        <values>
          <value t="nil">
            <val>1</val>
          </value>
        </values>
      </ddeItem>
      <ddeItem name="@CTA[1-2-4-7,J,#4]" advise="1">
        <values>
          <value t="nil">
            <val>1</val>
          </value>
        </values>
      </ddeItem>
      <ddeItem name="@CTA[1-2-4-7,K,#4]" advise="1">
        <values>
          <value t="nil">
            <val>1</val>
          </value>
        </values>
      </ddeItem>
      <ddeItem name="@CTA[1-2-4-8,F,#4]" advise="1">
        <values>
          <value t="nil">
            <val>1</val>
          </value>
        </values>
      </ddeItem>
      <ddeItem name="@CTA[1-2-4-8,F,#4]{1216}" advise="1">
        <values>
          <value t="nil">
            <val>1</val>
          </value>
        </values>
      </ddeItem>
      <ddeItem name="@CTA[1-2-4-8,J,#4]" advise="1">
        <values>
          <value t="nil">
            <val>1</val>
          </value>
        </values>
      </ddeItem>
      <ddeItem name="@CTA[1-2-4-8,K,#4]" advise="1">
        <values>
          <value t="nil">
            <val>1</val>
          </value>
        </values>
      </ddeItem>
      <ddeItem name="@CTA[1-2-5-1,F,#4]" advise="1">
        <values>
          <value t="nil">
            <val>1</val>
          </value>
        </values>
      </ddeItem>
      <ddeItem name="@CTA[1-2-5-1,F,#4]{1216}" advise="1">
        <values>
          <value t="nil">
            <val>1</val>
          </value>
        </values>
      </ddeItem>
      <ddeItem name="@CTA[1-2-5-1,J,#4]" advise="1">
        <values>
          <value t="nil">
            <val>1</val>
          </value>
        </values>
      </ddeItem>
      <ddeItem name="@CTA[1-2-5-1,K,#4]" advise="1">
        <values>
          <value t="nil">
            <val>1</val>
          </value>
        </values>
      </ddeItem>
      <ddeItem name="@CTA[1-2-5-2,F,#4]" advise="1">
        <values>
          <value t="nil">
            <val>1</val>
          </value>
        </values>
      </ddeItem>
      <ddeItem name="@CTA[1-2-5-2,F,#4]{1216}" advise="1">
        <values>
          <value t="nil">
            <val>1</val>
          </value>
        </values>
      </ddeItem>
      <ddeItem name="@CTA[1-2-5-2,J,#4]" advise="1">
        <values>
          <value t="nil">
            <val>1</val>
          </value>
        </values>
      </ddeItem>
      <ddeItem name="@CTA[1-2-5-2,K,#4]" advise="1">
        <values>
          <value t="nil">
            <val>1</val>
          </value>
        </values>
      </ddeItem>
      <ddeItem name="@CTA[1-2-5-3,F,#4]" advise="1">
        <values>
          <value>
            <val>5171063</val>
          </value>
        </values>
      </ddeItem>
      <ddeItem name="@CTA[1-2-5-3,F,#4]{1216}" advise="1">
        <values>
          <value>
            <val>5171063</val>
          </value>
        </values>
      </ddeItem>
      <ddeItem name="@CTA[1-2-5-3,J,#4]" advise="1">
        <values>
          <value>
            <val>0</val>
          </value>
        </values>
      </ddeItem>
      <ddeItem name="@CTA[1-2-5-3,K,#4]" advise="1">
        <values>
          <value>
            <val>0</val>
          </value>
        </values>
      </ddeItem>
      <ddeItem name="@CTA[1-2-5-4,F,#4]" advise="1">
        <values>
          <value>
            <val>222665.04</val>
          </value>
        </values>
      </ddeItem>
      <ddeItem name="@CTA[1-2-5-4,F,#4]{1216}" advise="1">
        <values>
          <value>
            <val>222665.04</val>
          </value>
        </values>
      </ddeItem>
      <ddeItem name="@CTA[1-2-5-4,J,#4]" advise="1">
        <values>
          <value>
            <val>0</val>
          </value>
        </values>
      </ddeItem>
      <ddeItem name="@CTA[1-2-5-4,K,#4]" advise="1">
        <values>
          <value>
            <val>0</val>
          </value>
        </values>
      </ddeItem>
      <ddeItem name="@CTA[1-2-5-9,F,#4]" advise="1">
        <values>
          <value t="nil">
            <val>1</val>
          </value>
        </values>
      </ddeItem>
      <ddeItem name="@CTA[1-2-5-9,F,#4]{1216}" advise="1">
        <values>
          <value t="nil">
            <val>1</val>
          </value>
        </values>
      </ddeItem>
      <ddeItem name="@CTA[1-2-5-9,J,#4]" advise="1">
        <values>
          <value t="nil">
            <val>1</val>
          </value>
        </values>
      </ddeItem>
      <ddeItem name="@CTA[1-2-5-9,K,#4]" advise="1">
        <values>
          <value t="nil">
            <val>1</val>
          </value>
        </values>
      </ddeItem>
      <ddeItem name="@CTA[1-2-6-1,F,#4]" advise="1">
        <values>
          <value>
            <val>1806564.7799999998</val>
          </value>
        </values>
      </ddeItem>
      <ddeItem name="@CTA[1-2-6-1,F,#4]{1216}" advise="1">
        <values>
          <value>
            <val>1768100.9099999997</val>
          </value>
        </values>
      </ddeItem>
      <ddeItem name="@CTA[1-2-6-1,J,#4]" advise="1">
        <values>
          <value>
            <val>0</val>
          </value>
        </values>
      </ddeItem>
      <ddeItem name="@CTA[1-2-6-1,K,#4]" advise="1">
        <values>
          <value>
            <val>38463.870000000003</val>
          </value>
        </values>
      </ddeItem>
      <ddeItem name="@CTA[1-2-6-2,F,#4]" advise="1">
        <values>
          <value>
            <val>27133407.000000004</val>
          </value>
        </values>
      </ddeItem>
      <ddeItem name="@CTA[1-2-6-2,F,#4]{1216}" advise="1">
        <values>
          <value>
            <val>26514947.090000004</val>
          </value>
        </values>
      </ddeItem>
      <ddeItem name="@CTA[1-2-6-2,J,#4]" advise="1">
        <values>
          <value>
            <val>0</val>
          </value>
        </values>
      </ddeItem>
      <ddeItem name="@CTA[1-2-6-2,K,#4]" advise="1">
        <values>
          <value>
            <val>618459.90999999992</val>
          </value>
        </values>
      </ddeItem>
      <ddeItem name="@CTA[1-2-6-3,F,#4]" advise="1">
        <values>
          <value>
            <val>6866368.3799999971</val>
          </value>
        </values>
      </ddeItem>
      <ddeItem name="@CTA[1-2-6-3,F,#4]{1216}" advise="1">
        <values>
          <value>
            <val>6811241.8999999976</val>
          </value>
        </values>
      </ddeItem>
      <ddeItem name="@CTA[1-2-6-3,J,#4]" advise="1">
        <values>
          <value>
            <val>44577.69</val>
          </value>
        </values>
      </ddeItem>
      <ddeItem name="@CTA[1-2-6-3,K,#4]" advise="1">
        <values>
          <value>
            <val>99704.170000000013</val>
          </value>
        </values>
      </ddeItem>
      <ddeItem name="@CTA[1-2-6-4,F,#4]" advise="1">
        <values>
          <value t="nil">
            <val>1</val>
          </value>
        </values>
      </ddeItem>
      <ddeItem name="@CTA[1-2-6-4,F,#4]{1216}" advise="1">
        <values>
          <value t="nil">
            <val>1</val>
          </value>
        </values>
      </ddeItem>
      <ddeItem name="@CTA[1-2-6-4,J,#4]" advise="1">
        <values>
          <value t="nil">
            <val>1</val>
          </value>
        </values>
      </ddeItem>
      <ddeItem name="@CTA[1-2-6-4,K,#4]" advise="1">
        <values>
          <value t="nil">
            <val>1</val>
          </value>
        </values>
      </ddeItem>
      <ddeItem name="@CTA[1-2-6-5,F,#4]" advise="1">
        <values>
          <value>
            <val>5439272.1899999995</val>
          </value>
        </values>
      </ddeItem>
      <ddeItem name="@CTA[1-2-6-5,F,#4]{1216}" advise="1">
        <values>
          <value>
            <val>5402074.5499999998</val>
          </value>
        </values>
      </ddeItem>
      <ddeItem name="@CTA[1-2-6-5,J,#4]" advise="1">
        <values>
          <value>
            <val>0</val>
          </value>
        </values>
      </ddeItem>
      <ddeItem name="@CTA[1-2-6-5,K,#4]" advise="1">
        <values>
          <value>
            <val>37197.64</val>
          </value>
        </values>
      </ddeItem>
      <ddeItem name="@CTA[1-2-7-1,F,#4]" advise="1">
        <values>
          <value t="nil">
            <val>1</val>
          </value>
        </values>
      </ddeItem>
      <ddeItem name="@CTA[1-2-7-1,F,#4]{1216}" advise="1">
        <values>
          <value t="nil">
            <val>1</val>
          </value>
        </values>
      </ddeItem>
      <ddeItem name="@CTA[1-2-7-1,J,#4]" advise="1">
        <values>
          <value t="nil">
            <val>1</val>
          </value>
        </values>
      </ddeItem>
      <ddeItem name="@CTA[1-2-7-1,K,#4]" advise="1">
        <values>
          <value t="nil">
            <val>1</val>
          </value>
        </values>
      </ddeItem>
      <ddeItem name="@CTA[1-2-7-2,F,#4]" advise="1">
        <values>
          <value t="nil">
            <val>1</val>
          </value>
        </values>
      </ddeItem>
      <ddeItem name="@CTA[1-2-7-2,F,#4]{1216}" advise="1">
        <values>
          <value t="nil">
            <val>1</val>
          </value>
        </values>
      </ddeItem>
      <ddeItem name="@CTA[1-2-7-2,J,#4]" advise="1">
        <values>
          <value t="nil">
            <val>1</val>
          </value>
        </values>
      </ddeItem>
      <ddeItem name="@CTA[1-2-7-2,K,#4]" advise="1">
        <values>
          <value t="nil">
            <val>1</val>
          </value>
        </values>
      </ddeItem>
      <ddeItem name="@CTA[1-2-7-3,F,#4]" advise="1">
        <values>
          <value>
            <val>114539.4599999995</val>
          </value>
        </values>
      </ddeItem>
      <ddeItem name="@CTA[1-2-7-3,F,#4]{1216}" advise="1">
        <values>
          <value>
            <val>165718.34999999951</val>
          </value>
        </values>
      </ddeItem>
      <ddeItem name="@CTA[1-2-7-3,J,#4]" advise="1">
        <values>
          <value>
            <val>949.63</val>
          </value>
        </values>
      </ddeItem>
      <ddeItem name="@CTA[1-2-7-3,K,#4]" advise="1">
        <values>
          <value>
            <val>52128.520000000004</val>
          </value>
        </values>
      </ddeItem>
      <ddeItem name="@CTA[1-2-7-4,F,#4]" advise="1">
        <values>
          <value t="nil">
            <val>1</val>
          </value>
        </values>
      </ddeItem>
      <ddeItem name="@CTA[1-2-7-4,F,#4]{1216}" advise="1">
        <values>
          <value t="nil">
            <val>1</val>
          </value>
        </values>
      </ddeItem>
      <ddeItem name="@CTA[1-2-7-4,J,#4]" advise="1">
        <values>
          <value t="nil">
            <val>1</val>
          </value>
        </values>
      </ddeItem>
      <ddeItem name="@CTA[1-2-7-4,K,#4]" advise="1">
        <values>
          <value t="nil">
            <val>1</val>
          </value>
        </values>
      </ddeItem>
      <ddeItem name="@CTA[1-2-7-5,F,#4]" advise="1">
        <values>
          <value t="nil">
            <val>1</val>
          </value>
        </values>
      </ddeItem>
      <ddeItem name="@CTA[1-2-7-5,F,#4]{1216}" advise="1">
        <values>
          <value t="nil">
            <val>1</val>
          </value>
        </values>
      </ddeItem>
      <ddeItem name="@CTA[1-2-7-5,J,#4]" advise="1">
        <values>
          <value t="nil">
            <val>1</val>
          </value>
        </values>
      </ddeItem>
      <ddeItem name="@CTA[1-2-7-5,K,#4]" advise="1">
        <values>
          <value t="nil">
            <val>1</val>
          </value>
        </values>
      </ddeItem>
      <ddeItem name="@CTA[1-2-7-9,F,#4]" advise="1">
        <values>
          <value t="nil">
            <val>1</val>
          </value>
        </values>
      </ddeItem>
      <ddeItem name="@CTA[1-2-7-9,F,#4]{1216}" advise="1">
        <values>
          <value t="nil">
            <val>1</val>
          </value>
        </values>
      </ddeItem>
      <ddeItem name="@CTA[1-2-7-9,J,#4]" advise="1">
        <values>
          <value t="nil">
            <val>1</val>
          </value>
        </values>
      </ddeItem>
      <ddeItem name="@CTA[1-2-7-9,K,#4]" advise="1">
        <values>
          <value t="nil">
            <val>1</val>
          </value>
        </values>
      </ddeItem>
      <ddeItem name="@CTA[1-2-8-1,F,#4]" advise="1">
        <values>
          <value t="nil">
            <val>1</val>
          </value>
        </values>
      </ddeItem>
      <ddeItem name="@CTA[1-2-8-1,F,#4]{1216}" advise="1">
        <values>
          <value t="nil">
            <val>1</val>
          </value>
        </values>
      </ddeItem>
      <ddeItem name="@CTA[1-2-8-1,J,#4]" advise="1">
        <values>
          <value t="nil">
            <val>1</val>
          </value>
        </values>
      </ddeItem>
      <ddeItem name="@CTA[1-2-8-1,K,#4]" advise="1">
        <values>
          <value t="nil">
            <val>1</val>
          </value>
        </values>
      </ddeItem>
      <ddeItem name="@CTA[1-2-8-2,F,#4]" advise="1">
        <values>
          <value t="nil">
            <val>1</val>
          </value>
        </values>
      </ddeItem>
      <ddeItem name="@CTA[1-2-8-2,F,#4]{1216}" advise="1">
        <values>
          <value t="nil">
            <val>1</val>
          </value>
        </values>
      </ddeItem>
      <ddeItem name="@CTA[1-2-8-2,J,#4]" advise="1">
        <values>
          <value t="nil">
            <val>1</val>
          </value>
        </values>
      </ddeItem>
      <ddeItem name="@CTA[1-2-8-2,K,#4]" advise="1">
        <values>
          <value t="nil">
            <val>1</val>
          </value>
        </values>
      </ddeItem>
      <ddeItem name="@CTA[1-2-8-3,F,#4]" advise="1">
        <values>
          <value t="nil">
            <val>1</val>
          </value>
        </values>
      </ddeItem>
      <ddeItem name="@CTA[1-2-8-3,F,#4]{1216}" advise="1">
        <values>
          <value t="nil">
            <val>1</val>
          </value>
        </values>
      </ddeItem>
      <ddeItem name="@CTA[1-2-8-3,J,#4]" advise="1">
        <values>
          <value t="nil">
            <val>1</val>
          </value>
        </values>
      </ddeItem>
      <ddeItem name="@CTA[1-2-8-3,K,#4]" advise="1">
        <values>
          <value t="nil">
            <val>1</val>
          </value>
        </values>
      </ddeItem>
      <ddeItem name="@CTA[1-2-8-4,F,#4]" advise="1">
        <values>
          <value t="nil">
            <val>1</val>
          </value>
        </values>
      </ddeItem>
      <ddeItem name="@CTA[1-2-8-4,F,#4]{1216}" advise="1">
        <values>
          <value t="nil">
            <val>1</val>
          </value>
        </values>
      </ddeItem>
      <ddeItem name="@CTA[1-2-8-4,J,#4]" advise="1">
        <values>
          <value t="nil">
            <val>1</val>
          </value>
        </values>
      </ddeItem>
      <ddeItem name="@CTA[1-2-8-4,K,#4]" advise="1">
        <values>
          <value t="nil">
            <val>1</val>
          </value>
        </values>
      </ddeItem>
      <ddeItem name="@CTA[1-2-8-9,F,#4]" advise="1">
        <values>
          <value t="nil">
            <val>1</val>
          </value>
        </values>
      </ddeItem>
      <ddeItem name="@CTA[1-2-8-9,F,#4]{1216}" advise="1">
        <values>
          <value t="nil">
            <val>1</val>
          </value>
        </values>
      </ddeItem>
      <ddeItem name="@CTA[1-2-8-9,J,#4]" advise="1">
        <values>
          <value t="nil">
            <val>1</val>
          </value>
        </values>
      </ddeItem>
      <ddeItem name="@CTA[1-2-8-9,K,#4]" advise="1">
        <values>
          <value t="nil">
            <val>1</val>
          </value>
        </values>
      </ddeItem>
      <ddeItem name="@CTA[1-2-9-1,F,#4]" advise="1">
        <values>
          <value t="nil">
            <val>1</val>
          </value>
        </values>
      </ddeItem>
      <ddeItem name="@CTA[1-2-9-1,F,#4]{1216}" advise="1">
        <values>
          <value t="nil">
            <val>1</val>
          </value>
        </values>
      </ddeItem>
      <ddeItem name="@CTA[1-2-9-1,J,#4]" advise="1">
        <values>
          <value t="nil">
            <val>1</val>
          </value>
        </values>
      </ddeItem>
      <ddeItem name="@CTA[1-2-9-1,K,#4]" advise="1">
        <values>
          <value t="nil">
            <val>1</val>
          </value>
        </values>
      </ddeItem>
      <ddeItem name="@CTA[1-2-9-2,F,#4]" advise="1">
        <values>
          <value t="nil">
            <val>1</val>
          </value>
        </values>
      </ddeItem>
      <ddeItem name="@CTA[1-2-9-2,F,#4]{1216}" advise="1">
        <values>
          <value t="nil">
            <val>1</val>
          </value>
        </values>
      </ddeItem>
      <ddeItem name="@CTA[1-2-9-2,J,#4]" advise="1">
        <values>
          <value t="nil">
            <val>1</val>
          </value>
        </values>
      </ddeItem>
      <ddeItem name="@CTA[1-2-9-2,K,#4]" advise="1">
        <values>
          <value t="nil">
            <val>1</val>
          </value>
        </values>
      </ddeItem>
      <ddeItem name="@CTA[1-2-9-3,F,#4]" advise="1">
        <values>
          <value t="nil">
            <val>1</val>
          </value>
        </values>
      </ddeItem>
      <ddeItem name="@CTA[1-2-9-3,F,#4]{1216}" advise="1">
        <values>
          <value t="nil">
            <val>1</val>
          </value>
        </values>
      </ddeItem>
      <ddeItem name="@CTA[1-2-9-3,J,#4]" advise="1">
        <values>
          <value t="nil">
            <val>1</val>
          </value>
        </values>
      </ddeItem>
      <ddeItem name="@CTA[1-2-9-3,K,#4]" advise="1">
        <values>
          <value t="nil">
            <val>1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workbookViewId="0">
      <pane ySplit="2" topLeftCell="A76" activePane="bottomLeft" state="frozen"/>
      <selection pane="bottomLeft" activeCell="C106" sqref="C106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8" t="s">
        <v>110</v>
      </c>
      <c r="B1" s="39"/>
      <c r="C1" s="39"/>
      <c r="D1" s="39"/>
      <c r="E1" s="39"/>
      <c r="F1" s="39"/>
      <c r="G1" s="40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ht="12.75" x14ac:dyDescent="0.2">
      <c r="A3" s="1">
        <v>1000</v>
      </c>
      <c r="B3" s="2" t="s">
        <v>3</v>
      </c>
      <c r="C3" s="24">
        <f>+C4+C42</f>
        <v>111963128.06000003</v>
      </c>
      <c r="D3" s="25">
        <f>D4+D42</f>
        <v>68379326.539999992</v>
      </c>
      <c r="E3" s="25">
        <f>+E4+E42</f>
        <v>58307794.309999995</v>
      </c>
      <c r="F3" s="24">
        <f>+F4+F42</f>
        <v>120536164.48999998</v>
      </c>
      <c r="G3" s="26">
        <f>F3-C3</f>
        <v>8573036.4299999475</v>
      </c>
    </row>
    <row r="4" spans="1:7" ht="12.75" x14ac:dyDescent="0.2">
      <c r="A4" s="3">
        <v>1100</v>
      </c>
      <c r="B4" s="4" t="s">
        <v>4</v>
      </c>
      <c r="C4" s="27">
        <f>+C5+C13+C21+C27+C33+C35+C38</f>
        <v>33175360.210000001</v>
      </c>
      <c r="D4" s="28">
        <f>+D5+D13+D21+D27+D33+D35+D38</f>
        <v>60763846.059999995</v>
      </c>
      <c r="E4" s="28">
        <f>+E5+E13+E21+E27+E33+E35+E38</f>
        <v>56453862.869999997</v>
      </c>
      <c r="F4" s="27">
        <f>+F5+F13+F21+F27+F33+F35+F38</f>
        <v>37485343.399999999</v>
      </c>
      <c r="G4" s="29">
        <f t="shared" ref="G4:G67" si="0">F4-C4</f>
        <v>4309983.1899999976</v>
      </c>
    </row>
    <row r="5" spans="1:7" ht="12.75" x14ac:dyDescent="0.2">
      <c r="A5" s="3">
        <v>1110</v>
      </c>
      <c r="B5" s="4" t="s">
        <v>5</v>
      </c>
      <c r="C5" s="27">
        <f>SUM(C6:C12)</f>
        <v>27862895.649999991</v>
      </c>
      <c r="D5" s="28">
        <f>D6+D7+D8+D9+D10+D11+D12</f>
        <v>20983913.039999999</v>
      </c>
      <c r="E5" s="28">
        <f>SUM(E6:E12)</f>
        <v>16446008.59</v>
      </c>
      <c r="F5" s="27">
        <f>SUM(F6:F12)</f>
        <v>32400800.099999994</v>
      </c>
      <c r="G5" s="29">
        <f t="shared" si="0"/>
        <v>4537904.450000003</v>
      </c>
    </row>
    <row r="6" spans="1:7" ht="12.75" x14ac:dyDescent="0.2">
      <c r="A6" s="5">
        <v>1111</v>
      </c>
      <c r="B6" s="6" t="s">
        <v>6</v>
      </c>
      <c r="C6" s="30">
        <f>[1]!'@CTA[1-1-1-1,F,#4]{1216}'</f>
        <v>17000</v>
      </c>
      <c r="D6" s="31">
        <f>[1]!'@CTA[1-1-1-1,J,#4]'</f>
        <v>0</v>
      </c>
      <c r="E6" s="31">
        <f>[1]!'@CTA[1-1-1-1,K,#4]'</f>
        <v>0</v>
      </c>
      <c r="F6" s="30">
        <f>[1]!'@CTA[1-1-1-1,F,#4]'</f>
        <v>17000</v>
      </c>
      <c r="G6" s="32">
        <f t="shared" si="0"/>
        <v>0</v>
      </c>
    </row>
    <row r="7" spans="1:7" ht="12.75" x14ac:dyDescent="0.2">
      <c r="A7" s="5">
        <v>1112</v>
      </c>
      <c r="B7" s="6" t="s">
        <v>7</v>
      </c>
      <c r="C7" s="30">
        <f>[1]!'@CTA[1-1-1-2,F,#4]{1216}'</f>
        <v>26509949.409999989</v>
      </c>
      <c r="D7" s="31">
        <f>[1]!'@CTA[1-1-1-2,J,#4]'</f>
        <v>20969608.93</v>
      </c>
      <c r="E7" s="31">
        <f>[1]!'@CTA[1-1-1-2,K,#4]'</f>
        <v>16446008.59</v>
      </c>
      <c r="F7" s="30">
        <f>[1]!'@CTA[1-1-1-2,F,#4]'</f>
        <v>31033549.749999993</v>
      </c>
      <c r="G7" s="32">
        <f t="shared" si="0"/>
        <v>4523600.3400000036</v>
      </c>
    </row>
    <row r="8" spans="1:7" ht="12.75" x14ac:dyDescent="0.2">
      <c r="A8" s="5">
        <v>1113</v>
      </c>
      <c r="B8" s="6" t="s">
        <v>8</v>
      </c>
      <c r="C8" s="30">
        <f>[1]!'@CTA[1-1-1-3,F,#4]{1216}'</f>
        <v>0</v>
      </c>
      <c r="D8" s="31">
        <f>[1]!'@CTA[1-1-1-3,J,#4]'</f>
        <v>0</v>
      </c>
      <c r="E8" s="31">
        <f>[1]!'@CTA[1-1-1-3,K,#4]'</f>
        <v>0</v>
      </c>
      <c r="F8" s="30">
        <f>[1]!'@CTA[1-1-1-3,F,#4]'</f>
        <v>0</v>
      </c>
      <c r="G8" s="32">
        <f t="shared" si="0"/>
        <v>0</v>
      </c>
    </row>
    <row r="9" spans="1:7" ht="12.75" x14ac:dyDescent="0.2">
      <c r="A9" s="5">
        <v>1114</v>
      </c>
      <c r="B9" s="6" t="s">
        <v>9</v>
      </c>
      <c r="C9" s="30">
        <f>[1]!'@CTA[1-1-1-4,F,#4]{1216}'</f>
        <v>1129865.6400000001</v>
      </c>
      <c r="D9" s="31">
        <f>[1]!'@CTA[1-1-1-4,J,#4]'</f>
        <v>14304.11</v>
      </c>
      <c r="E9" s="31">
        <f>[1]!'@CTA[1-1-1-4,K,#4]'</f>
        <v>0</v>
      </c>
      <c r="F9" s="30">
        <f>[1]!'@CTA[1-1-1-4,F,#4]'</f>
        <v>1144169.75</v>
      </c>
      <c r="G9" s="32">
        <f t="shared" si="0"/>
        <v>14304.10999999987</v>
      </c>
    </row>
    <row r="10" spans="1:7" ht="12.75" x14ac:dyDescent="0.2">
      <c r="A10" s="5">
        <v>1115</v>
      </c>
      <c r="B10" s="6" t="s">
        <v>10</v>
      </c>
      <c r="C10" s="30">
        <f>[1]!'@CTA[1-1-1-5,F,#4]{1216}'</f>
        <v>0</v>
      </c>
      <c r="D10" s="31">
        <f>[1]!'@CTA[1-1-1-5,J,#4]'</f>
        <v>0</v>
      </c>
      <c r="E10" s="31">
        <f>[1]!'@CTA[1-1-1-5,K,#4]'</f>
        <v>0</v>
      </c>
      <c r="F10" s="30">
        <f>[1]!'@CTA[1-1-1-5,F,#4]'</f>
        <v>0</v>
      </c>
      <c r="G10" s="32">
        <f t="shared" si="0"/>
        <v>0</v>
      </c>
    </row>
    <row r="11" spans="1:7" ht="12.75" x14ac:dyDescent="0.2">
      <c r="A11" s="5">
        <v>1116</v>
      </c>
      <c r="B11" s="6" t="s">
        <v>97</v>
      </c>
      <c r="C11" s="30">
        <f>[1]!'@CTA[1-1-1-6,F,#4]{1216}'</f>
        <v>206080.6</v>
      </c>
      <c r="D11" s="31">
        <f>[1]!'@CTA[1-1-1-6,J,#4]'</f>
        <v>0</v>
      </c>
      <c r="E11" s="31">
        <f>[1]!'@CTA[1-1-1-6,K,#4]'</f>
        <v>0</v>
      </c>
      <c r="F11" s="30">
        <f>[1]!'@CTA[1-1-1-6,F,#4]'</f>
        <v>206080.6</v>
      </c>
      <c r="G11" s="32">
        <f t="shared" si="0"/>
        <v>0</v>
      </c>
    </row>
    <row r="12" spans="1:7" ht="12.75" x14ac:dyDescent="0.2">
      <c r="A12" s="5">
        <v>1119</v>
      </c>
      <c r="B12" s="6" t="s">
        <v>11</v>
      </c>
      <c r="C12" s="30">
        <f>[1]!'@CTA[1-1-1-9,F,#4]{1216}'</f>
        <v>0</v>
      </c>
      <c r="D12" s="31">
        <f>[1]!'@CTA[1-1-1-9,J,#4]'</f>
        <v>0</v>
      </c>
      <c r="E12" s="31">
        <f>[1]!'@CTA[1-1-1-9,K,#4]'</f>
        <v>0</v>
      </c>
      <c r="F12" s="30">
        <f>[1]!'@CTA[1-1-1-9,F,#4]'</f>
        <v>0</v>
      </c>
      <c r="G12" s="32">
        <f t="shared" si="0"/>
        <v>0</v>
      </c>
    </row>
    <row r="13" spans="1:7" ht="12.75" x14ac:dyDescent="0.2">
      <c r="A13" s="3">
        <v>1120</v>
      </c>
      <c r="B13" s="4" t="s">
        <v>12</v>
      </c>
      <c r="C13" s="27">
        <f>SUM(C14:C20)</f>
        <v>4113064.040000007</v>
      </c>
      <c r="D13" s="28">
        <f>D14+D15+D16+D17+D18+D19+D20</f>
        <v>38504942.659999996</v>
      </c>
      <c r="E13" s="28">
        <f>SUM(E14:E20)</f>
        <v>38920531.179999992</v>
      </c>
      <c r="F13" s="27">
        <f>SUM(F14:F20)</f>
        <v>3697475.5200000065</v>
      </c>
      <c r="G13" s="29">
        <f t="shared" si="0"/>
        <v>-415588.52000000048</v>
      </c>
    </row>
    <row r="14" spans="1:7" ht="12.75" x14ac:dyDescent="0.2">
      <c r="A14" s="5">
        <v>1121</v>
      </c>
      <c r="B14" s="6" t="s">
        <v>13</v>
      </c>
      <c r="C14" s="30">
        <f>[1]!'@CTA[1-1-2-1,F,#4]{1216}'</f>
        <v>0</v>
      </c>
      <c r="D14" s="31">
        <f>[1]!'@CTA[1-1-2-1,J,#4]'</f>
        <v>0</v>
      </c>
      <c r="E14" s="31">
        <f>[1]!'@CTA[1-1-2-1,K,#4]'</f>
        <v>0</v>
      </c>
      <c r="F14" s="30">
        <f>[1]!'@CTA[1-1-2-1,F,#4]'</f>
        <v>0</v>
      </c>
      <c r="G14" s="32">
        <f t="shared" si="0"/>
        <v>0</v>
      </c>
    </row>
    <row r="15" spans="1:7" ht="12.75" x14ac:dyDescent="0.2">
      <c r="A15" s="5">
        <v>1122</v>
      </c>
      <c r="B15" s="6" t="s">
        <v>14</v>
      </c>
      <c r="C15" s="30">
        <f>[1]!'@CTA[1-1-2-2,F,#4]{1216}'</f>
        <v>4108691.2100000065</v>
      </c>
      <c r="D15" s="31">
        <f>[1]!'@CTA[1-1-2-2,J,#4]'</f>
        <v>2061872.9399999995</v>
      </c>
      <c r="E15" s="31">
        <f>[1]!'@CTA[1-1-2-2,K,#4]'</f>
        <v>2478196.6799999997</v>
      </c>
      <c r="F15" s="30">
        <f>[1]!'@CTA[1-1-2-2,F,#4]'</f>
        <v>3692367.4700000063</v>
      </c>
      <c r="G15" s="32">
        <f t="shared" si="0"/>
        <v>-416323.74000000022</v>
      </c>
    </row>
    <row r="16" spans="1:7" ht="12.75" x14ac:dyDescent="0.2">
      <c r="A16" s="5">
        <v>1123</v>
      </c>
      <c r="B16" s="6" t="s">
        <v>15</v>
      </c>
      <c r="C16" s="30">
        <f>[1]!'@CTA[1-1-2-3,F,#4]{1216}'</f>
        <v>4373.5100000000239</v>
      </c>
      <c r="D16" s="31">
        <f>[1]!'@CTA[1-1-2-3,J,#4]'</f>
        <v>44535.7</v>
      </c>
      <c r="E16" s="31">
        <f>[1]!'@CTA[1-1-2-3,K,#4]'</f>
        <v>43800.480000000003</v>
      </c>
      <c r="F16" s="30">
        <f>[1]!'@CTA[1-1-2-3,F,#4]'</f>
        <v>5108.7300000000068</v>
      </c>
      <c r="G16" s="32">
        <f t="shared" si="0"/>
        <v>735.21999999998297</v>
      </c>
    </row>
    <row r="17" spans="1:7" ht="12.75" x14ac:dyDescent="0.2">
      <c r="A17" s="5">
        <v>1124</v>
      </c>
      <c r="B17" s="6" t="s">
        <v>16</v>
      </c>
      <c r="C17" s="30">
        <f>[1]!'@CTA[1-1-2-4,F,#4]{1216}'</f>
        <v>-0.67999999970197678</v>
      </c>
      <c r="D17" s="31">
        <f>[1]!'@CTA[1-1-2-4,J,#4]'</f>
        <v>36398534.019999996</v>
      </c>
      <c r="E17" s="31">
        <f>[1]!'@CTA[1-1-2-4,K,#4]'</f>
        <v>36398534.019999996</v>
      </c>
      <c r="F17" s="30">
        <f>[1]!'@CTA[1-1-2-4,F,#4]'</f>
        <v>-0.67999999970197678</v>
      </c>
      <c r="G17" s="32">
        <f t="shared" si="0"/>
        <v>0</v>
      </c>
    </row>
    <row r="18" spans="1:7" ht="12.75" x14ac:dyDescent="0.2">
      <c r="A18" s="5">
        <v>1125</v>
      </c>
      <c r="B18" s="6" t="s">
        <v>98</v>
      </c>
      <c r="C18" s="30">
        <f>[1]!'@CTA[1-1-2-5,F,#4]{1216}'</f>
        <v>0</v>
      </c>
      <c r="D18" s="31">
        <f>[1]!'@CTA[1-1-2-5,J,#4]'</f>
        <v>0</v>
      </c>
      <c r="E18" s="31">
        <f>[1]!'@CTA[1-1-2-5,K,#4]'</f>
        <v>0</v>
      </c>
      <c r="F18" s="30">
        <f>[1]!'@CTA[1-1-2-5,F,#4]'</f>
        <v>0</v>
      </c>
      <c r="G18" s="32">
        <f t="shared" si="0"/>
        <v>0</v>
      </c>
    </row>
    <row r="19" spans="1:7" ht="12.75" x14ac:dyDescent="0.2">
      <c r="A19" s="5">
        <v>1126</v>
      </c>
      <c r="B19" s="6" t="s">
        <v>17</v>
      </c>
      <c r="C19" s="30">
        <f>[1]!'@CTA[1-1-2-6,F,#4]{1216}'</f>
        <v>0</v>
      </c>
      <c r="D19" s="31">
        <f>[1]!'@CTA[1-1-2-6,J,#4]'</f>
        <v>0</v>
      </c>
      <c r="E19" s="31">
        <f>[1]!'@CTA[1-1-2-6,K,#4]'</f>
        <v>0</v>
      </c>
      <c r="F19" s="30">
        <f>[1]!'@CTA[1-1-2-6,F,#4]'</f>
        <v>0</v>
      </c>
      <c r="G19" s="32">
        <f t="shared" si="0"/>
        <v>0</v>
      </c>
    </row>
    <row r="20" spans="1:7" ht="12.75" x14ac:dyDescent="0.2">
      <c r="A20" s="5">
        <v>1129</v>
      </c>
      <c r="B20" s="6" t="s">
        <v>18</v>
      </c>
      <c r="C20" s="30">
        <f>[1]!'@CTA[1-1-2-9,F,#4]{1216}'</f>
        <v>0</v>
      </c>
      <c r="D20" s="31">
        <f>[1]!'@CTA[1-1-2-9,J,#4]'</f>
        <v>0</v>
      </c>
      <c r="E20" s="31">
        <f>[1]!'@CTA[1-1-2-9,K,#4]'</f>
        <v>0</v>
      </c>
      <c r="F20" s="30">
        <f>[1]!'@CTA[1-1-2-9,F,#4]'</f>
        <v>0</v>
      </c>
      <c r="G20" s="32">
        <f t="shared" si="0"/>
        <v>0</v>
      </c>
    </row>
    <row r="21" spans="1:7" ht="12.75" x14ac:dyDescent="0.2">
      <c r="A21" s="3">
        <v>1130</v>
      </c>
      <c r="B21" s="4" t="s">
        <v>19</v>
      </c>
      <c r="C21" s="27">
        <f>SUM(C22:C26)</f>
        <v>31610.000000000007</v>
      </c>
      <c r="D21" s="28">
        <f>D22+D23+D24+D25+D26</f>
        <v>727439.2</v>
      </c>
      <c r="E21" s="28">
        <f>SUM(E22:E26)</f>
        <v>312451.74</v>
      </c>
      <c r="F21" s="27">
        <f>SUM(F22:F26)</f>
        <v>446597.45999999996</v>
      </c>
      <c r="G21" s="29">
        <f t="shared" si="0"/>
        <v>414987.45999999996</v>
      </c>
    </row>
    <row r="22" spans="1:7" ht="12.75" x14ac:dyDescent="0.2">
      <c r="A22" s="5">
        <v>1131</v>
      </c>
      <c r="B22" s="6" t="s">
        <v>20</v>
      </c>
      <c r="C22" s="30">
        <f>[1]!'@CTA[1-1-3-1,F,#4]{1216}'</f>
        <v>31610.000000000007</v>
      </c>
      <c r="D22" s="31">
        <f>[1]!'@CTA[1-1-3-1,J,#4]'</f>
        <v>727439.2</v>
      </c>
      <c r="E22" s="31">
        <f>[1]!'@CTA[1-1-3-1,K,#4]'</f>
        <v>312451.74</v>
      </c>
      <c r="F22" s="30">
        <f>[1]!'@CTA[1-1-3-1,F,#4]'</f>
        <v>446597.45999999996</v>
      </c>
      <c r="G22" s="32">
        <f t="shared" si="0"/>
        <v>414987.45999999996</v>
      </c>
    </row>
    <row r="23" spans="1:7" ht="12.75" x14ac:dyDescent="0.2">
      <c r="A23" s="5">
        <v>1132</v>
      </c>
      <c r="B23" s="6" t="s">
        <v>21</v>
      </c>
      <c r="C23" s="30">
        <f>[1]!'@CTA[1-1-3-2,F,#4]{1216}'</f>
        <v>0</v>
      </c>
      <c r="D23" s="31">
        <f>[1]!'@CTA[1-1-3-2,J,#4]'</f>
        <v>0</v>
      </c>
      <c r="E23" s="31">
        <f>[1]!'@CTA[1-1-3-2,K,#4]'</f>
        <v>0</v>
      </c>
      <c r="F23" s="30">
        <f>[1]!'@CTA[1-1-3-2,F,#4]'</f>
        <v>0</v>
      </c>
      <c r="G23" s="32">
        <f t="shared" si="0"/>
        <v>0</v>
      </c>
    </row>
    <row r="24" spans="1:7" ht="12.75" x14ac:dyDescent="0.2">
      <c r="A24" s="5">
        <v>1133</v>
      </c>
      <c r="B24" s="6" t="s">
        <v>22</v>
      </c>
      <c r="C24" s="30">
        <f>[1]!'@CTA[1-1-3-3,F,#4]{1216}'</f>
        <v>0</v>
      </c>
      <c r="D24" s="31">
        <f>[1]!'@CTA[1-1-3-3,J,#4]'</f>
        <v>0</v>
      </c>
      <c r="E24" s="31">
        <f>[1]!'@CTA[1-1-3-3,K,#4]'</f>
        <v>0</v>
      </c>
      <c r="F24" s="30">
        <f>[1]!'@CTA[1-1-3-3,F,#4]'</f>
        <v>0</v>
      </c>
      <c r="G24" s="32">
        <f t="shared" si="0"/>
        <v>0</v>
      </c>
    </row>
    <row r="25" spans="1:7" ht="12.75" x14ac:dyDescent="0.2">
      <c r="A25" s="5">
        <v>1134</v>
      </c>
      <c r="B25" s="6" t="s">
        <v>23</v>
      </c>
      <c r="C25" s="30">
        <f>[1]!'@CTA[1-1-3-4,F,#4]{1216}'</f>
        <v>0</v>
      </c>
      <c r="D25" s="31">
        <f>[1]!'@CTA[1-1-3-4,J,#4]'</f>
        <v>0</v>
      </c>
      <c r="E25" s="31">
        <f>[1]!'@CTA[1-1-3-4,K,#4]'</f>
        <v>0</v>
      </c>
      <c r="F25" s="30">
        <f>[1]!'@CTA[1-1-3-4,F,#4]'</f>
        <v>0</v>
      </c>
      <c r="G25" s="32">
        <f t="shared" si="0"/>
        <v>0</v>
      </c>
    </row>
    <row r="26" spans="1:7" ht="12.75" x14ac:dyDescent="0.2">
      <c r="A26" s="5">
        <v>1139</v>
      </c>
      <c r="B26" s="6" t="s">
        <v>24</v>
      </c>
      <c r="C26" s="30">
        <f>[1]!'@CTA[1-1-3-9,F,#4]{1216}'</f>
        <v>0</v>
      </c>
      <c r="D26" s="31">
        <f>[1]!'@CTA[1-1-3-9,J,#4]'</f>
        <v>0</v>
      </c>
      <c r="E26" s="31">
        <f>[1]!'@CTA[1-1-3-9,K,#4]'</f>
        <v>0</v>
      </c>
      <c r="F26" s="30">
        <f>[1]!'@CTA[1-1-3-9,F,#4]'</f>
        <v>0</v>
      </c>
      <c r="G26" s="32">
        <f t="shared" si="0"/>
        <v>0</v>
      </c>
    </row>
    <row r="27" spans="1:7" ht="12.75" x14ac:dyDescent="0.2">
      <c r="A27" s="3">
        <v>1140</v>
      </c>
      <c r="B27" s="4" t="s">
        <v>25</v>
      </c>
      <c r="C27" s="27">
        <f>SUM(C28:C32)</f>
        <v>0</v>
      </c>
      <c r="D27" s="28">
        <f>SUM(J28:J32)</f>
        <v>0</v>
      </c>
      <c r="E27" s="28">
        <f>SUM(E28:E32)</f>
        <v>0</v>
      </c>
      <c r="F27" s="27">
        <f>SUM(F28:F32)</f>
        <v>0</v>
      </c>
      <c r="G27" s="29">
        <f t="shared" si="0"/>
        <v>0</v>
      </c>
    </row>
    <row r="28" spans="1:7" ht="12.75" x14ac:dyDescent="0.2">
      <c r="A28" s="5">
        <v>1141</v>
      </c>
      <c r="B28" s="6" t="s">
        <v>26</v>
      </c>
      <c r="C28" s="30">
        <f>[1]!'@CTA[1-1-4-1,F,#4]{1216}'</f>
        <v>0</v>
      </c>
      <c r="D28" s="31">
        <f>[1]!'@CTA[1-1-4-1,J,#4]'</f>
        <v>0</v>
      </c>
      <c r="E28" s="31">
        <f>[1]!'@CTA[1-1-4-1,K,#4]'</f>
        <v>0</v>
      </c>
      <c r="F28" s="30">
        <f>[1]!'@CTA[1-1-4-1,F,#4]'</f>
        <v>0</v>
      </c>
      <c r="G28" s="32">
        <f t="shared" si="0"/>
        <v>0</v>
      </c>
    </row>
    <row r="29" spans="1:7" ht="12.75" x14ac:dyDescent="0.2">
      <c r="A29" s="5">
        <v>1142</v>
      </c>
      <c r="B29" s="6" t="s">
        <v>27</v>
      </c>
      <c r="C29" s="30">
        <f>[1]!'@CTA[1-1-4-2,F,#4]{1216}'</f>
        <v>0</v>
      </c>
      <c r="D29" s="31">
        <f>[1]!'@CTA[1-1-4-2,J,#4]'</f>
        <v>0</v>
      </c>
      <c r="E29" s="31">
        <f>[1]!'@CTA[1-1-4-2,K,#4]'</f>
        <v>0</v>
      </c>
      <c r="F29" s="30">
        <f>[1]!'@CTA[1-1-4-2,F,#4]'</f>
        <v>0</v>
      </c>
      <c r="G29" s="32">
        <f t="shared" si="0"/>
        <v>0</v>
      </c>
    </row>
    <row r="30" spans="1:7" ht="12.75" x14ac:dyDescent="0.2">
      <c r="A30" s="5">
        <v>1143</v>
      </c>
      <c r="B30" s="6" t="s">
        <v>28</v>
      </c>
      <c r="C30" s="30">
        <f>[1]!'@CTA[1-1-4-3,F,#4]{1216}'</f>
        <v>0</v>
      </c>
      <c r="D30" s="31">
        <f>[1]!'@CTA[1-1-4-3,J,#4]'</f>
        <v>0</v>
      </c>
      <c r="E30" s="31">
        <f>[1]!'@CTA[1-1-4-3,K,#4]'</f>
        <v>0</v>
      </c>
      <c r="F30" s="30">
        <f>[1]!'@CTA[1-1-4-3,F,#4]'</f>
        <v>0</v>
      </c>
      <c r="G30" s="32">
        <f t="shared" si="0"/>
        <v>0</v>
      </c>
    </row>
    <row r="31" spans="1:7" ht="12.75" x14ac:dyDescent="0.2">
      <c r="A31" s="5">
        <v>1144</v>
      </c>
      <c r="B31" s="6" t="s">
        <v>29</v>
      </c>
      <c r="C31" s="30">
        <f>[1]!'@CTA[1-1-4-4,F,#4]{1216}'</f>
        <v>0</v>
      </c>
      <c r="D31" s="31">
        <f>[1]!'@CTA[1-1-4-4,J,#4]'</f>
        <v>0</v>
      </c>
      <c r="E31" s="31">
        <f>[1]!'@CTA[1-1-4-4,K,#4]'</f>
        <v>0</v>
      </c>
      <c r="F31" s="30">
        <f>[1]!'@CTA[1-1-4-4,F,#4]'</f>
        <v>0</v>
      </c>
      <c r="G31" s="32">
        <f t="shared" si="0"/>
        <v>0</v>
      </c>
    </row>
    <row r="32" spans="1:7" ht="12.75" x14ac:dyDescent="0.2">
      <c r="A32" s="5">
        <v>1145</v>
      </c>
      <c r="B32" s="6" t="s">
        <v>30</v>
      </c>
      <c r="C32" s="30">
        <f>[1]!'@CTA[1-1-4-5,F,#4]{1216}'</f>
        <v>0</v>
      </c>
      <c r="D32" s="31">
        <f>[1]!'@CTA[1-1-4-5,J,#4]'</f>
        <v>0</v>
      </c>
      <c r="E32" s="31">
        <f>[1]!'@CTA[1-1-4-5,K,#4]'</f>
        <v>0</v>
      </c>
      <c r="F32" s="30">
        <f>[1]!'@CTA[1-1-4-5,F,#4]'</f>
        <v>0</v>
      </c>
      <c r="G32" s="32">
        <f t="shared" si="0"/>
        <v>0</v>
      </c>
    </row>
    <row r="33" spans="1:7" ht="12.75" x14ac:dyDescent="0.2">
      <c r="A33" s="3">
        <v>1150</v>
      </c>
      <c r="B33" s="4" t="s">
        <v>31</v>
      </c>
      <c r="C33" s="27">
        <f>+C34</f>
        <v>1167790.5200000021</v>
      </c>
      <c r="D33" s="28">
        <f>D34+D35+D36+D37</f>
        <v>547551.15999999992</v>
      </c>
      <c r="E33" s="28">
        <f>+E34</f>
        <v>774871.3600000001</v>
      </c>
      <c r="F33" s="27">
        <f>+F34</f>
        <v>940470.32000000181</v>
      </c>
      <c r="G33" s="29">
        <f t="shared" si="0"/>
        <v>-227320.2000000003</v>
      </c>
    </row>
    <row r="34" spans="1:7" ht="12.75" x14ac:dyDescent="0.2">
      <c r="A34" s="5">
        <v>1151</v>
      </c>
      <c r="B34" s="6" t="s">
        <v>32</v>
      </c>
      <c r="C34" s="30">
        <f>[1]!'@CTA[1-1-5-1,F,#4]{1216}'</f>
        <v>1167790.5200000021</v>
      </c>
      <c r="D34" s="31">
        <f>[1]!'@CTA[1-1-5-1,J,#4]'</f>
        <v>547551.15999999992</v>
      </c>
      <c r="E34" s="31">
        <f>[1]!'@CTA[1-1-5-1,K,#4]'</f>
        <v>774871.3600000001</v>
      </c>
      <c r="F34" s="30">
        <f>[1]!'@CTA[1-1-5-1,F,#4]'</f>
        <v>940470.32000000181</v>
      </c>
      <c r="G34" s="32">
        <f t="shared" si="0"/>
        <v>-227320.2000000003</v>
      </c>
    </row>
    <row r="35" spans="1:7" ht="12.75" x14ac:dyDescent="0.2">
      <c r="A35" s="3">
        <v>1160</v>
      </c>
      <c r="B35" s="4" t="s">
        <v>33</v>
      </c>
      <c r="C35" s="27">
        <f>SUM(C36:C37)</f>
        <v>0</v>
      </c>
      <c r="D35" s="33">
        <f>SUM(J36:J37)</f>
        <v>0</v>
      </c>
      <c r="E35" s="33">
        <f>SUM(E36:E37)</f>
        <v>0</v>
      </c>
      <c r="F35" s="27">
        <f>SUM(F36:F37)</f>
        <v>0</v>
      </c>
      <c r="G35" s="29">
        <f t="shared" si="0"/>
        <v>0</v>
      </c>
    </row>
    <row r="36" spans="1:7" ht="12.75" x14ac:dyDescent="0.2">
      <c r="A36" s="5">
        <v>1161</v>
      </c>
      <c r="B36" s="6" t="s">
        <v>34</v>
      </c>
      <c r="C36" s="30">
        <f>[1]!'@CTA[1-1-6-1,F,#4]{1216}'</f>
        <v>0</v>
      </c>
      <c r="D36" s="31">
        <f>[1]!'@CTA[1-1-6-1,J,#4]'</f>
        <v>0</v>
      </c>
      <c r="E36" s="31">
        <f>[1]!'@CTA[1-1-6-1,K,#4]'</f>
        <v>0</v>
      </c>
      <c r="F36" s="30">
        <f>[1]!'@CTA[1-1-6-1,F,#4]'</f>
        <v>0</v>
      </c>
      <c r="G36" s="32">
        <f t="shared" si="0"/>
        <v>0</v>
      </c>
    </row>
    <row r="37" spans="1:7" ht="12.75" x14ac:dyDescent="0.2">
      <c r="A37" s="5">
        <v>1162</v>
      </c>
      <c r="B37" s="6" t="s">
        <v>99</v>
      </c>
      <c r="C37" s="30">
        <f>[1]!'@CTA[1-1-6-2,F,#4]{1216}'</f>
        <v>0</v>
      </c>
      <c r="D37" s="31">
        <f>[1]!'@CTA[1-1-6-2,J,#4]'</f>
        <v>0</v>
      </c>
      <c r="E37" s="31">
        <f>[1]!'@CTA[1-1-6-2,K,#4]'</f>
        <v>0</v>
      </c>
      <c r="F37" s="30">
        <f>[1]!'@CTA[1-1-6-2,F,#4]'</f>
        <v>0</v>
      </c>
      <c r="G37" s="32">
        <f t="shared" si="0"/>
        <v>0</v>
      </c>
    </row>
    <row r="38" spans="1:7" ht="12.75" x14ac:dyDescent="0.2">
      <c r="A38" s="3">
        <v>1190</v>
      </c>
      <c r="B38" s="4" t="s">
        <v>35</v>
      </c>
      <c r="C38" s="27">
        <f>SUM(C39:C41)</f>
        <v>0</v>
      </c>
      <c r="D38" s="28">
        <f>SUM(J39:J41)</f>
        <v>0</v>
      </c>
      <c r="E38" s="28">
        <f>SUM(E39:E41)</f>
        <v>0</v>
      </c>
      <c r="F38" s="27">
        <f>SUM(F39:F41)</f>
        <v>0</v>
      </c>
      <c r="G38" s="29">
        <f t="shared" si="0"/>
        <v>0</v>
      </c>
    </row>
    <row r="39" spans="1:7" ht="12.75" x14ac:dyDescent="0.2">
      <c r="A39" s="5">
        <v>1191</v>
      </c>
      <c r="B39" s="6" t="s">
        <v>36</v>
      </c>
      <c r="C39" s="30">
        <f>[1]!'@CTA[1-1-9-1,F,#4]{1216}'</f>
        <v>0</v>
      </c>
      <c r="D39" s="31">
        <f>[1]!'@CTA[1-1-9-1,J,#4]'</f>
        <v>0</v>
      </c>
      <c r="E39" s="31">
        <f>[1]!'@CTA[1-1-9-1,K,#4]'</f>
        <v>0</v>
      </c>
      <c r="F39" s="30">
        <f>[1]!'@CTA[1-1-9-1,F,#4]'</f>
        <v>0</v>
      </c>
      <c r="G39" s="32">
        <f t="shared" si="0"/>
        <v>0</v>
      </c>
    </row>
    <row r="40" spans="1:7" ht="12.75" x14ac:dyDescent="0.2">
      <c r="A40" s="5">
        <v>1192</v>
      </c>
      <c r="B40" s="6" t="s">
        <v>100</v>
      </c>
      <c r="C40" s="30">
        <f>[1]!'@CTA[1-1-9-2,F,#4]{1216}'</f>
        <v>0</v>
      </c>
      <c r="D40" s="31">
        <f>[1]!'@CTA[1-1-9-2,J,#4]'</f>
        <v>0</v>
      </c>
      <c r="E40" s="31">
        <f>[1]!'@CTA[1-1-9-2,K,#4]'</f>
        <v>0</v>
      </c>
      <c r="F40" s="30">
        <f>[1]!'@CTA[1-1-9-2,F,#4]'</f>
        <v>0</v>
      </c>
      <c r="G40" s="32">
        <f t="shared" si="0"/>
        <v>0</v>
      </c>
    </row>
    <row r="41" spans="1:7" ht="12.75" x14ac:dyDescent="0.2">
      <c r="A41" s="5">
        <v>1193</v>
      </c>
      <c r="B41" s="6" t="s">
        <v>37</v>
      </c>
      <c r="C41" s="30">
        <f>[1]!'@CTA[1-1-9-3,F,#4]{1216}'</f>
        <v>0</v>
      </c>
      <c r="D41" s="31">
        <f>[1]!'@CTA[1-1-9-3,J,#4]'</f>
        <v>0</v>
      </c>
      <c r="E41" s="31">
        <f>[1]!'@CTA[1-1-9-3,K,#4]'</f>
        <v>0</v>
      </c>
      <c r="F41" s="30">
        <f>[1]!'@CTA[1-1-9-3,F,#4]'</f>
        <v>0</v>
      </c>
      <c r="G41" s="32">
        <f t="shared" si="0"/>
        <v>0</v>
      </c>
    </row>
    <row r="42" spans="1:7" ht="12.75" x14ac:dyDescent="0.2">
      <c r="A42" s="3">
        <v>1200</v>
      </c>
      <c r="B42" s="4" t="s">
        <v>38</v>
      </c>
      <c r="C42" s="27">
        <f>+C43+C48+C54+C62+C71+C77+C83+C90+C96</f>
        <v>78787767.850000024</v>
      </c>
      <c r="D42" s="28">
        <f>D43+D48+D54+D62+D71+D77+D83+D90+D96</f>
        <v>7615480.4800000004</v>
      </c>
      <c r="E42" s="28">
        <f>+E43+E48+E54+E62+E71+E77+E83+E90+E96</f>
        <v>1853931.4400000004</v>
      </c>
      <c r="F42" s="27">
        <f>+F43+F48+F54+F62+F71+F77+F83+F90+F96</f>
        <v>83050821.089999989</v>
      </c>
      <c r="G42" s="29">
        <f t="shared" si="0"/>
        <v>4263053.2399999648</v>
      </c>
    </row>
    <row r="43" spans="1:7" ht="12.75" x14ac:dyDescent="0.2">
      <c r="A43" s="3">
        <v>1210</v>
      </c>
      <c r="B43" s="4" t="s">
        <v>39</v>
      </c>
      <c r="C43" s="27">
        <f>+C44+C45+C46+C47</f>
        <v>0</v>
      </c>
      <c r="D43" s="28">
        <f>+J44+J45+J46+J47</f>
        <v>0</v>
      </c>
      <c r="E43" s="28">
        <f>+E44+E45+E46+E47</f>
        <v>0</v>
      </c>
      <c r="F43" s="27">
        <f>+F44+F45+F46+F47</f>
        <v>0</v>
      </c>
      <c r="G43" s="29">
        <f t="shared" si="0"/>
        <v>0</v>
      </c>
    </row>
    <row r="44" spans="1:7" ht="12.75" x14ac:dyDescent="0.2">
      <c r="A44" s="5">
        <v>1211</v>
      </c>
      <c r="B44" s="6" t="s">
        <v>40</v>
      </c>
      <c r="C44" s="30">
        <f>[1]!'@CTA[1-2-1-1,F,#4]{1216}'</f>
        <v>0</v>
      </c>
      <c r="D44" s="31">
        <f>[1]!'@CTA[1-2-1-1,J,#4]'</f>
        <v>0</v>
      </c>
      <c r="E44" s="31">
        <f>[1]!'@CTA[1-2-1-1,K,#4]'</f>
        <v>0</v>
      </c>
      <c r="F44" s="30">
        <f>[1]!'@CTA[1-2-1-1,F,#4]'</f>
        <v>0</v>
      </c>
      <c r="G44" s="32">
        <f t="shared" si="0"/>
        <v>0</v>
      </c>
    </row>
    <row r="45" spans="1:7" ht="12.75" x14ac:dyDescent="0.2">
      <c r="A45" s="5">
        <v>1212</v>
      </c>
      <c r="B45" s="6" t="s">
        <v>41</v>
      </c>
      <c r="C45" s="30">
        <f>[1]!'@CTA[1-2-1-2,F,#4]{1216}'</f>
        <v>0</v>
      </c>
      <c r="D45" s="31">
        <f>[1]!'@CTA[1-2-1-2,J,#4]'</f>
        <v>0</v>
      </c>
      <c r="E45" s="31">
        <f>[1]!'@CTA[1-2-1-2,K,#4]'</f>
        <v>0</v>
      </c>
      <c r="F45" s="30">
        <f>[1]!'@CTA[1-2-1-2,F,#4]'</f>
        <v>0</v>
      </c>
      <c r="G45" s="32">
        <f t="shared" si="0"/>
        <v>0</v>
      </c>
    </row>
    <row r="46" spans="1:7" ht="12.75" x14ac:dyDescent="0.2">
      <c r="A46" s="5">
        <v>1213</v>
      </c>
      <c r="B46" s="6" t="s">
        <v>42</v>
      </c>
      <c r="C46" s="30">
        <f>[1]!'@CTA[1-2-1-3,F,#4]{1216}'</f>
        <v>0</v>
      </c>
      <c r="D46" s="31">
        <f>[1]!'@CTA[1-2-1-3,J,#4]'</f>
        <v>0</v>
      </c>
      <c r="E46" s="31">
        <f>[1]!'@CTA[1-2-1-3,K,#4]'</f>
        <v>0</v>
      </c>
      <c r="F46" s="30">
        <f>[1]!'@CTA[1-2-1-3,F,#4]'</f>
        <v>0</v>
      </c>
      <c r="G46" s="32">
        <f t="shared" si="0"/>
        <v>0</v>
      </c>
    </row>
    <row r="47" spans="1:7" ht="12.75" x14ac:dyDescent="0.2">
      <c r="A47" s="5">
        <v>1214</v>
      </c>
      <c r="B47" s="6" t="s">
        <v>43</v>
      </c>
      <c r="C47" s="30">
        <f>[1]!'@CTA[1-2-1-4,F,#4]{1216}'</f>
        <v>0</v>
      </c>
      <c r="D47" s="31">
        <f>[1]!'@CTA[1-2-1-4,J,#4]'</f>
        <v>0</v>
      </c>
      <c r="E47" s="31">
        <f>[1]!'@CTA[1-2-1-4,K,#4]'</f>
        <v>0</v>
      </c>
      <c r="F47" s="30">
        <f>[1]!'@CTA[1-2-1-4,F,#4]'</f>
        <v>0</v>
      </c>
      <c r="G47" s="32">
        <f t="shared" si="0"/>
        <v>0</v>
      </c>
    </row>
    <row r="48" spans="1:7" ht="12.75" x14ac:dyDescent="0.2">
      <c r="A48" s="3">
        <v>1220</v>
      </c>
      <c r="B48" s="4" t="s">
        <v>44</v>
      </c>
      <c r="C48" s="27">
        <f>+C49+C50+C51+C52+C53</f>
        <v>0</v>
      </c>
      <c r="D48" s="28">
        <f>+J49+J50+J51+J52+J53</f>
        <v>0</v>
      </c>
      <c r="E48" s="28">
        <f>+E49+E50+E51+E52+E53</f>
        <v>0</v>
      </c>
      <c r="F48" s="27">
        <f>+F49+F50+F51+F52+F53</f>
        <v>0</v>
      </c>
      <c r="G48" s="29">
        <f t="shared" si="0"/>
        <v>0</v>
      </c>
    </row>
    <row r="49" spans="1:7" ht="12.75" x14ac:dyDescent="0.2">
      <c r="A49" s="5">
        <v>1221</v>
      </c>
      <c r="B49" s="6" t="s">
        <v>45</v>
      </c>
      <c r="C49" s="30">
        <f>[1]!'@CTA[1-2-2-1,F,#4]{1216}'</f>
        <v>0</v>
      </c>
      <c r="D49" s="31">
        <f>[1]!'@CTA[1-2-2-1,J,#4]'</f>
        <v>0</v>
      </c>
      <c r="E49" s="31">
        <f>[1]!'@CTA[1-2-2-1,K,#4]'</f>
        <v>0</v>
      </c>
      <c r="F49" s="30">
        <f>[1]!'@CTA[1-2-2-1,F,#4]'</f>
        <v>0</v>
      </c>
      <c r="G49" s="32">
        <f t="shared" si="0"/>
        <v>0</v>
      </c>
    </row>
    <row r="50" spans="1:7" ht="12.75" x14ac:dyDescent="0.2">
      <c r="A50" s="5">
        <v>1222</v>
      </c>
      <c r="B50" s="6" t="s">
        <v>46</v>
      </c>
      <c r="C50" s="30">
        <f>[1]!'@CTA[1-2-2-2,F,#4]{1216}'</f>
        <v>0</v>
      </c>
      <c r="D50" s="31">
        <f>[1]!'@CTA[1-2-2-2,J,#4]'</f>
        <v>0</v>
      </c>
      <c r="E50" s="31">
        <f>[1]!'@CTA[1-2-2-2,K,#4]'</f>
        <v>0</v>
      </c>
      <c r="F50" s="30">
        <f>[1]!'@CTA[1-2-2-2,F,#4]'</f>
        <v>0</v>
      </c>
      <c r="G50" s="32">
        <f t="shared" si="0"/>
        <v>0</v>
      </c>
    </row>
    <row r="51" spans="1:7" ht="12.75" x14ac:dyDescent="0.2">
      <c r="A51" s="5">
        <v>1223</v>
      </c>
      <c r="B51" s="6" t="s">
        <v>47</v>
      </c>
      <c r="C51" s="30">
        <f>[1]!'@CTA[1-2-2-3,F,#4]{1216}'</f>
        <v>0</v>
      </c>
      <c r="D51" s="31">
        <f>[1]!'@CTA[1-2-2-3,J,#4]'</f>
        <v>0</v>
      </c>
      <c r="E51" s="31">
        <f>[1]!'@CTA[1-2-2-3,K,#4]'</f>
        <v>0</v>
      </c>
      <c r="F51" s="30">
        <f>[1]!'@CTA[1-2-2-3,F,#4]'</f>
        <v>0</v>
      </c>
      <c r="G51" s="32">
        <f t="shared" si="0"/>
        <v>0</v>
      </c>
    </row>
    <row r="52" spans="1:7" ht="12.75" x14ac:dyDescent="0.2">
      <c r="A52" s="5">
        <v>1224</v>
      </c>
      <c r="B52" s="6" t="s">
        <v>48</v>
      </c>
      <c r="C52" s="30">
        <f>[1]!'@CTA[1-2-2-4,F,#4]{1216}'</f>
        <v>0</v>
      </c>
      <c r="D52" s="31">
        <f>[1]!'@CTA[1-2-2-4,J,#4]'</f>
        <v>0</v>
      </c>
      <c r="E52" s="31">
        <f>[1]!'@CTA[1-2-2-4,K,#4]'</f>
        <v>0</v>
      </c>
      <c r="F52" s="30">
        <f>[1]!'@CTA[1-2-2-4,F,#4]'</f>
        <v>0</v>
      </c>
      <c r="G52" s="32">
        <f t="shared" si="0"/>
        <v>0</v>
      </c>
    </row>
    <row r="53" spans="1:7" ht="12.75" x14ac:dyDescent="0.2">
      <c r="A53" s="5">
        <v>1229</v>
      </c>
      <c r="B53" s="6" t="s">
        <v>49</v>
      </c>
      <c r="C53" s="30">
        <f>[1]!'@CTA[1-2-2-9,F,#4]{1216}'</f>
        <v>0</v>
      </c>
      <c r="D53" s="31">
        <f>[1]!'@CTA[1-2-2-9,J,#4]'</f>
        <v>0</v>
      </c>
      <c r="E53" s="31">
        <f>[1]!'@CTA[1-2-2-9,K,#4]'</f>
        <v>0</v>
      </c>
      <c r="F53" s="30">
        <f>[1]!'@CTA[1-2-2-9,F,#4]'</f>
        <v>0</v>
      </c>
      <c r="G53" s="32">
        <f t="shared" si="0"/>
        <v>0</v>
      </c>
    </row>
    <row r="54" spans="1:7" ht="12.75" x14ac:dyDescent="0.2">
      <c r="A54" s="3">
        <v>1230</v>
      </c>
      <c r="B54" s="4" t="s">
        <v>50</v>
      </c>
      <c r="C54" s="27">
        <f>+C55+C56+C57+C58+C59+C60+C61</f>
        <v>104721897.71000001</v>
      </c>
      <c r="D54" s="28">
        <f>D55+D56+D57+D58+D59+D60+D61</f>
        <v>7594425.2200000007</v>
      </c>
      <c r="E54" s="28">
        <f>+E55+E56+E57+E58+E59+E60+E61</f>
        <v>2544305.6</v>
      </c>
      <c r="F54" s="27">
        <f>+F55+F56+F57+F58+F59+F60+F61</f>
        <v>109772017.33</v>
      </c>
      <c r="G54" s="29">
        <f t="shared" si="0"/>
        <v>5050119.6199999899</v>
      </c>
    </row>
    <row r="55" spans="1:7" ht="12.75" x14ac:dyDescent="0.2">
      <c r="A55" s="5">
        <v>1231</v>
      </c>
      <c r="B55" s="6" t="s">
        <v>51</v>
      </c>
      <c r="C55" s="30">
        <f>[1]!'@CTA[1-2-3-1,F,#4]{1216}'</f>
        <v>2424173.17</v>
      </c>
      <c r="D55" s="31">
        <f>[1]!'@CTA[1-2-3-1,J,#4]'</f>
        <v>60000</v>
      </c>
      <c r="E55" s="31">
        <f>[1]!'@CTA[1-2-3-1,K,#4]'</f>
        <v>0</v>
      </c>
      <c r="F55" s="30">
        <f>[1]!'@CTA[1-2-3-1,F,#4]'</f>
        <v>2484173.17</v>
      </c>
      <c r="G55" s="32">
        <f t="shared" si="0"/>
        <v>60000</v>
      </c>
    </row>
    <row r="56" spans="1:7" ht="12.75" x14ac:dyDescent="0.2">
      <c r="A56" s="5">
        <v>1232</v>
      </c>
      <c r="B56" s="6" t="s">
        <v>52</v>
      </c>
      <c r="C56" s="30">
        <f>[1]!'@CTA[1-2-3-2,F,#4]{1216}'</f>
        <v>0</v>
      </c>
      <c r="D56" s="31">
        <f>[1]!'@CTA[1-2-3-2,J,#4]'</f>
        <v>0</v>
      </c>
      <c r="E56" s="31">
        <f>[1]!'@CTA[1-2-3-2,K,#4]'</f>
        <v>0</v>
      </c>
      <c r="F56" s="30">
        <f>[1]!'@CTA[1-2-3-2,F,#4]'</f>
        <v>0</v>
      </c>
      <c r="G56" s="32">
        <f t="shared" si="0"/>
        <v>0</v>
      </c>
    </row>
    <row r="57" spans="1:7" ht="12.75" x14ac:dyDescent="0.2">
      <c r="A57" s="5">
        <v>1233</v>
      </c>
      <c r="B57" s="6" t="s">
        <v>53</v>
      </c>
      <c r="C57" s="30">
        <f>[1]!'@CTA[1-2-3-3,F,#4]{1216}'</f>
        <v>3342729.2</v>
      </c>
      <c r="D57" s="31">
        <f>[1]!'@CTA[1-2-3-3,J,#4]'</f>
        <v>0</v>
      </c>
      <c r="E57" s="31">
        <f>[1]!'@CTA[1-2-3-3,K,#4]'</f>
        <v>0</v>
      </c>
      <c r="F57" s="30">
        <f>[1]!'@CTA[1-2-3-3,F,#4]'</f>
        <v>3342729.2</v>
      </c>
      <c r="G57" s="32">
        <f t="shared" si="0"/>
        <v>0</v>
      </c>
    </row>
    <row r="58" spans="1:7" ht="12.75" x14ac:dyDescent="0.2">
      <c r="A58" s="5">
        <v>1234</v>
      </c>
      <c r="B58" s="6" t="s">
        <v>54</v>
      </c>
      <c r="C58" s="30">
        <f>[1]!'@CTA[1-2-3-4,F,#4]{1216}'</f>
        <v>93577173.790000007</v>
      </c>
      <c r="D58" s="31">
        <f>[1]!'@CTA[1-2-3-4,J,#4]'</f>
        <v>4103093.2600000002</v>
      </c>
      <c r="E58" s="31">
        <f>[1]!'@CTA[1-2-3-4,K,#4]'</f>
        <v>0</v>
      </c>
      <c r="F58" s="30">
        <f>[1]!'@CTA[1-2-3-4,F,#4]'</f>
        <v>97680267.049999997</v>
      </c>
      <c r="G58" s="32">
        <f t="shared" si="0"/>
        <v>4103093.2599999905</v>
      </c>
    </row>
    <row r="59" spans="1:7" ht="12.75" x14ac:dyDescent="0.2">
      <c r="A59" s="5">
        <v>1235</v>
      </c>
      <c r="B59" s="6" t="s">
        <v>55</v>
      </c>
      <c r="C59" s="30">
        <f>[1]!'@CTA[1-2-3-5,F,#4]{1216}'</f>
        <v>5377821.549999997</v>
      </c>
      <c r="D59" s="31">
        <f>[1]!'@CTA[1-2-3-5,J,#4]'</f>
        <v>3431331.9600000004</v>
      </c>
      <c r="E59" s="31">
        <f>[1]!'@CTA[1-2-3-5,K,#4]'</f>
        <v>2544305.6</v>
      </c>
      <c r="F59" s="30">
        <f>[1]!'@CTA[1-2-3-5,F,#4]'</f>
        <v>6264847.9099999983</v>
      </c>
      <c r="G59" s="32">
        <f t="shared" si="0"/>
        <v>887026.36000000127</v>
      </c>
    </row>
    <row r="60" spans="1:7" ht="12.75" x14ac:dyDescent="0.2">
      <c r="A60" s="5">
        <v>1236</v>
      </c>
      <c r="B60" s="6" t="s">
        <v>56</v>
      </c>
      <c r="C60" s="30">
        <f>[1]!'@CTA[1-2-3-6,F,#4]{1216}'</f>
        <v>0</v>
      </c>
      <c r="D60" s="31">
        <f>[1]!'@CTA[1-2-3-6,J,#4]'</f>
        <v>0</v>
      </c>
      <c r="E60" s="31">
        <f>[1]!'@CTA[1-2-3-6,K,#4]'</f>
        <v>0</v>
      </c>
      <c r="F60" s="30">
        <f>[1]!'@CTA[1-2-3-6,F,#4]'</f>
        <v>0</v>
      </c>
      <c r="G60" s="32">
        <f t="shared" si="0"/>
        <v>0</v>
      </c>
    </row>
    <row r="61" spans="1:7" ht="12.75" x14ac:dyDescent="0.2">
      <c r="A61" s="5">
        <v>1239</v>
      </c>
      <c r="B61" s="6" t="s">
        <v>57</v>
      </c>
      <c r="C61" s="30">
        <f>[1]!'@CTA[1-2-3-9,F,#4]{1216}'</f>
        <v>0</v>
      </c>
      <c r="D61" s="31">
        <f>[1]!'@CTA[1-2-3-9,J,#4]'</f>
        <v>0</v>
      </c>
      <c r="E61" s="31">
        <f>[1]!'@CTA[1-2-3-9,K,#4]'</f>
        <v>0</v>
      </c>
      <c r="F61" s="30">
        <f>[1]!'@CTA[1-2-3-9,F,#4]'</f>
        <v>0</v>
      </c>
      <c r="G61" s="32">
        <f t="shared" si="0"/>
        <v>0</v>
      </c>
    </row>
    <row r="62" spans="1:7" ht="12.75" x14ac:dyDescent="0.2">
      <c r="A62" s="3">
        <v>1240</v>
      </c>
      <c r="B62" s="4" t="s">
        <v>58</v>
      </c>
      <c r="C62" s="27">
        <f>+C63+C64+C65+C66+C67+C68+C69+C70</f>
        <v>9002788.1999999993</v>
      </c>
      <c r="D62" s="28">
        <f>D63+D64+D65+D66+D67+D68+D69+D70</f>
        <v>64683.319999999992</v>
      </c>
      <c r="E62" s="28">
        <f>+E63+E64+E65+E66+E67+E68+E69+E70</f>
        <v>51322.91</v>
      </c>
      <c r="F62" s="27">
        <f>+F63+F64+F65+F66+F67+F68+F69+F70</f>
        <v>9016148.6099999994</v>
      </c>
      <c r="G62" s="29">
        <f t="shared" si="0"/>
        <v>13360.410000000149</v>
      </c>
    </row>
    <row r="63" spans="1:7" ht="12.75" x14ac:dyDescent="0.2">
      <c r="A63" s="5">
        <v>1241</v>
      </c>
      <c r="B63" s="6" t="s">
        <v>59</v>
      </c>
      <c r="C63" s="30">
        <f>[1]!'@CTA[1-2-4-1,F,#4]{1216}'</f>
        <v>2994823.3800000004</v>
      </c>
      <c r="D63" s="31">
        <f>[1]!'@CTA[1-2-4-1,J,#4]'</f>
        <v>17865.48</v>
      </c>
      <c r="E63" s="31">
        <f>[1]!'@CTA[1-2-4-1,K,#4]'</f>
        <v>0</v>
      </c>
      <c r="F63" s="30">
        <f>[1]!'@CTA[1-2-4-1,F,#4]'</f>
        <v>3012688.8600000003</v>
      </c>
      <c r="G63" s="32">
        <f t="shared" si="0"/>
        <v>17865.479999999981</v>
      </c>
    </row>
    <row r="64" spans="1:7" ht="12.75" x14ac:dyDescent="0.2">
      <c r="A64" s="5">
        <v>1242</v>
      </c>
      <c r="B64" s="6" t="s">
        <v>60</v>
      </c>
      <c r="C64" s="30">
        <f>[1]!'@CTA[1-2-4-2,F,#4]{1216}'</f>
        <v>211824.33000000002</v>
      </c>
      <c r="D64" s="31">
        <f>[1]!'@CTA[1-2-4-2,J,#4]'</f>
        <v>24059.22</v>
      </c>
      <c r="E64" s="31">
        <f>[1]!'@CTA[1-2-4-2,K,#4]'</f>
        <v>0</v>
      </c>
      <c r="F64" s="30">
        <f>[1]!'@CTA[1-2-4-2,F,#4]'</f>
        <v>235883.55000000002</v>
      </c>
      <c r="G64" s="32">
        <f t="shared" si="0"/>
        <v>24059.22</v>
      </c>
    </row>
    <row r="65" spans="1:7" ht="12.75" x14ac:dyDescent="0.2">
      <c r="A65" s="5">
        <v>1243</v>
      </c>
      <c r="B65" s="6" t="s">
        <v>61</v>
      </c>
      <c r="C65" s="30">
        <f>[1]!'@CTA[1-2-4-3,F,#4]{1216}'</f>
        <v>0</v>
      </c>
      <c r="D65" s="31">
        <f>[1]!'@CTA[1-2-4-3,J,#4]'</f>
        <v>0</v>
      </c>
      <c r="E65" s="31">
        <f>[1]!'@CTA[1-2-4-3,K,#4]'</f>
        <v>0</v>
      </c>
      <c r="F65" s="30">
        <f>[1]!'@CTA[1-2-4-3,F,#4]'</f>
        <v>0</v>
      </c>
      <c r="G65" s="32">
        <f t="shared" si="0"/>
        <v>0</v>
      </c>
    </row>
    <row r="66" spans="1:7" ht="12.75" x14ac:dyDescent="0.2">
      <c r="A66" s="5">
        <v>1244</v>
      </c>
      <c r="B66" s="6" t="s">
        <v>62</v>
      </c>
      <c r="C66" s="30">
        <f>[1]!'@CTA[1-2-4-4,F,#4]{1216}'</f>
        <v>2173330.3799999994</v>
      </c>
      <c r="D66" s="31">
        <f>[1]!'@CTA[1-2-4-4,J,#4]'</f>
        <v>22758.62</v>
      </c>
      <c r="E66" s="31">
        <f>[1]!'@CTA[1-2-4-4,K,#4]'</f>
        <v>17160</v>
      </c>
      <c r="F66" s="30">
        <f>[1]!'@CTA[1-2-4-4,F,#4]'</f>
        <v>2178928.9999999995</v>
      </c>
      <c r="G66" s="32">
        <f t="shared" si="0"/>
        <v>5598.6200000001118</v>
      </c>
    </row>
    <row r="67" spans="1:7" ht="12.75" x14ac:dyDescent="0.2">
      <c r="A67" s="5">
        <v>1245</v>
      </c>
      <c r="B67" s="6" t="s">
        <v>63</v>
      </c>
      <c r="C67" s="30">
        <f>[1]!'@CTA[1-2-4-5,F,#4]{1216}'</f>
        <v>0</v>
      </c>
      <c r="D67" s="31">
        <f>[1]!'@CTA[1-2-4-5,J,#4]'</f>
        <v>0</v>
      </c>
      <c r="E67" s="31">
        <f>[1]!'@CTA[1-2-4-5,K,#4]'</f>
        <v>0</v>
      </c>
      <c r="F67" s="30">
        <f>[1]!'@CTA[1-2-4-5,F,#4]'</f>
        <v>0</v>
      </c>
      <c r="G67" s="32">
        <f t="shared" si="0"/>
        <v>0</v>
      </c>
    </row>
    <row r="68" spans="1:7" ht="12.75" x14ac:dyDescent="0.2">
      <c r="A68" s="5">
        <v>1246</v>
      </c>
      <c r="B68" s="6" t="s">
        <v>64</v>
      </c>
      <c r="C68" s="30">
        <f>[1]!'@CTA[1-2-4-6,F,#4]{1216}'</f>
        <v>3622810.1099999989</v>
      </c>
      <c r="D68" s="31">
        <f>[1]!'@CTA[1-2-4-6,J,#4]'</f>
        <v>0</v>
      </c>
      <c r="E68" s="31">
        <f>[1]!'@CTA[1-2-4-6,K,#4]'</f>
        <v>34162.910000000003</v>
      </c>
      <c r="F68" s="30">
        <f>[1]!'@CTA[1-2-4-6,F,#4]'</f>
        <v>3588647.1999999993</v>
      </c>
      <c r="G68" s="32">
        <f t="shared" ref="G68:G99" si="1">F68-C68</f>
        <v>-34162.909999999683</v>
      </c>
    </row>
    <row r="69" spans="1:7" ht="12.75" x14ac:dyDescent="0.2">
      <c r="A69" s="5">
        <v>1247</v>
      </c>
      <c r="B69" s="6" t="s">
        <v>65</v>
      </c>
      <c r="C69" s="30">
        <f>[1]!'@CTA[1-2-4-7,F,#4]{1216}'</f>
        <v>0</v>
      </c>
      <c r="D69" s="31">
        <f>[1]!'@CTA[1-2-4-7,J,#4]'</f>
        <v>0</v>
      </c>
      <c r="E69" s="31">
        <f>[1]!'@CTA[1-2-4-7,K,#4]'</f>
        <v>0</v>
      </c>
      <c r="F69" s="30">
        <f>[1]!'@CTA[1-2-4-7,F,#4]'</f>
        <v>0</v>
      </c>
      <c r="G69" s="32">
        <f t="shared" si="1"/>
        <v>0</v>
      </c>
    </row>
    <row r="70" spans="1:7" ht="12.75" x14ac:dyDescent="0.2">
      <c r="A70" s="5">
        <v>1248</v>
      </c>
      <c r="B70" s="6" t="s">
        <v>66</v>
      </c>
      <c r="C70" s="30">
        <f>[1]!'@CTA[1-2-4-8,F,#4]{1216}'</f>
        <v>0</v>
      </c>
      <c r="D70" s="31">
        <f>[1]!'@CTA[1-2-4-8,J,#4]'</f>
        <v>0</v>
      </c>
      <c r="E70" s="31">
        <f>[1]!'@CTA[1-2-4-8,K,#4]'</f>
        <v>0</v>
      </c>
      <c r="F70" s="30">
        <f>[1]!'@CTA[1-2-4-8,F,#4]'</f>
        <v>0</v>
      </c>
      <c r="G70" s="32">
        <f t="shared" si="1"/>
        <v>0</v>
      </c>
    </row>
    <row r="71" spans="1:7" ht="12.75" x14ac:dyDescent="0.2">
      <c r="A71" s="3">
        <v>1250</v>
      </c>
      <c r="B71" s="4" t="s">
        <v>67</v>
      </c>
      <c r="C71" s="27">
        <f>+C72+C73+C74+C75+C76</f>
        <v>5393728.04</v>
      </c>
      <c r="D71" s="28">
        <f>D72+D73+D74+D75+D76</f>
        <v>0</v>
      </c>
      <c r="E71" s="28">
        <f>+E72+E73+E74+E75+E76</f>
        <v>0</v>
      </c>
      <c r="F71" s="27">
        <f>+F72+F73+F74+F75+F76</f>
        <v>5393728.04</v>
      </c>
      <c r="G71" s="29">
        <f t="shared" si="1"/>
        <v>0</v>
      </c>
    </row>
    <row r="72" spans="1:7" ht="12.75" x14ac:dyDescent="0.2">
      <c r="A72" s="5">
        <v>1251</v>
      </c>
      <c r="B72" s="6" t="s">
        <v>68</v>
      </c>
      <c r="C72" s="30">
        <f>[1]!'@CTA[1-2-5-1,F,#4]{1216}'</f>
        <v>0</v>
      </c>
      <c r="D72" s="31">
        <f>[1]!'@CTA[1-2-5-1,J,#4]'</f>
        <v>0</v>
      </c>
      <c r="E72" s="31">
        <f>[1]!'@CTA[1-2-5-1,K,#4]'</f>
        <v>0</v>
      </c>
      <c r="F72" s="30">
        <f>[1]!'@CTA[1-2-5-1,F,#4]'</f>
        <v>0</v>
      </c>
      <c r="G72" s="32">
        <f t="shared" si="1"/>
        <v>0</v>
      </c>
    </row>
    <row r="73" spans="1:7" ht="12.75" x14ac:dyDescent="0.2">
      <c r="A73" s="5">
        <v>1252</v>
      </c>
      <c r="B73" s="6" t="s">
        <v>69</v>
      </c>
      <c r="C73" s="30">
        <f>[1]!'@CTA[1-2-5-2,F,#4]{1216}'</f>
        <v>0</v>
      </c>
      <c r="D73" s="31">
        <f>[1]!'@CTA[1-2-5-2,J,#4]'</f>
        <v>0</v>
      </c>
      <c r="E73" s="31">
        <f>[1]!'@CTA[1-2-5-2,K,#4]'</f>
        <v>0</v>
      </c>
      <c r="F73" s="30">
        <f>[1]!'@CTA[1-2-5-2,F,#4]'</f>
        <v>0</v>
      </c>
      <c r="G73" s="32">
        <f t="shared" si="1"/>
        <v>0</v>
      </c>
    </row>
    <row r="74" spans="1:7" ht="12.75" x14ac:dyDescent="0.2">
      <c r="A74" s="5">
        <v>1253</v>
      </c>
      <c r="B74" s="6" t="s">
        <v>70</v>
      </c>
      <c r="C74" s="30">
        <f>[1]!'@CTA[1-2-5-3,F,#4]{1216}'</f>
        <v>5171063</v>
      </c>
      <c r="D74" s="31">
        <f>[1]!'@CTA[1-2-5-3,J,#4]'</f>
        <v>0</v>
      </c>
      <c r="E74" s="31">
        <f>[1]!'@CTA[1-2-5-3,K,#4]'</f>
        <v>0</v>
      </c>
      <c r="F74" s="30">
        <f>[1]!'@CTA[1-2-5-3,F,#4]'</f>
        <v>5171063</v>
      </c>
      <c r="G74" s="32">
        <f t="shared" si="1"/>
        <v>0</v>
      </c>
    </row>
    <row r="75" spans="1:7" ht="12.75" x14ac:dyDescent="0.2">
      <c r="A75" s="5">
        <v>1254</v>
      </c>
      <c r="B75" s="6" t="s">
        <v>71</v>
      </c>
      <c r="C75" s="30">
        <f>[1]!'@CTA[1-2-5-4,F,#4]{1216}'</f>
        <v>222665.04</v>
      </c>
      <c r="D75" s="31">
        <f>[1]!'@CTA[1-2-5-4,J,#4]'</f>
        <v>0</v>
      </c>
      <c r="E75" s="31">
        <f>[1]!'@CTA[1-2-5-4,K,#4]'</f>
        <v>0</v>
      </c>
      <c r="F75" s="30">
        <f>[1]!'@CTA[1-2-5-4,F,#4]'</f>
        <v>222665.04</v>
      </c>
      <c r="G75" s="32">
        <f t="shared" si="1"/>
        <v>0</v>
      </c>
    </row>
    <row r="76" spans="1:7" ht="12.75" x14ac:dyDescent="0.2">
      <c r="A76" s="5">
        <v>1259</v>
      </c>
      <c r="B76" s="6" t="s">
        <v>72</v>
      </c>
      <c r="C76" s="30">
        <f>[1]!'@CTA[1-2-5-9,F,#4]{1216}'</f>
        <v>0</v>
      </c>
      <c r="D76" s="31">
        <f>[1]!'@CTA[1-2-5-9,J,#4]'</f>
        <v>0</v>
      </c>
      <c r="E76" s="31">
        <f>[1]!'@CTA[1-2-5-9,K,#4]'</f>
        <v>0</v>
      </c>
      <c r="F76" s="30">
        <f>[1]!'@CTA[1-2-5-9,F,#4]'</f>
        <v>0</v>
      </c>
      <c r="G76" s="32">
        <f t="shared" si="1"/>
        <v>0</v>
      </c>
    </row>
    <row r="77" spans="1:7" ht="12.75" x14ac:dyDescent="0.2">
      <c r="A77" s="3">
        <v>1260</v>
      </c>
      <c r="B77" s="4" t="s">
        <v>101</v>
      </c>
      <c r="C77" s="27">
        <f>SUM(C78:C82)</f>
        <v>-40496364.449999996</v>
      </c>
      <c r="D77" s="28">
        <f>D78+D79+D80+D81+D82</f>
        <v>-44577.69</v>
      </c>
      <c r="E77" s="28">
        <f>SUM(E78:E82)</f>
        <v>-793825.59</v>
      </c>
      <c r="F77" s="27">
        <f>SUM(F78:F82)</f>
        <v>-41245612.350000001</v>
      </c>
      <c r="G77" s="29">
        <f t="shared" si="1"/>
        <v>-749247.90000000596</v>
      </c>
    </row>
    <row r="78" spans="1:7" ht="12.75" x14ac:dyDescent="0.2">
      <c r="A78" s="5">
        <v>1261</v>
      </c>
      <c r="B78" s="6" t="s">
        <v>102</v>
      </c>
      <c r="C78" s="34">
        <f>[1]!'@CTA[1-2-6-1,F,#4]{1216}'*-1</f>
        <v>-1768100.9099999997</v>
      </c>
      <c r="D78" s="35">
        <f>[1]!'@CTA[1-2-6-1,J,#4]'*-1</f>
        <v>0</v>
      </c>
      <c r="E78" s="35">
        <f>[1]!'@CTA[1-2-6-1,K,#4]'*-1</f>
        <v>-38463.870000000003</v>
      </c>
      <c r="F78" s="34">
        <f>[1]!'@CTA[1-2-6-1,F,#4]'*-1</f>
        <v>-1806564.7799999998</v>
      </c>
      <c r="G78" s="32">
        <f t="shared" si="1"/>
        <v>-38463.870000000112</v>
      </c>
    </row>
    <row r="79" spans="1:7" ht="12.75" x14ac:dyDescent="0.2">
      <c r="A79" s="5">
        <v>1262</v>
      </c>
      <c r="B79" s="6" t="s">
        <v>73</v>
      </c>
      <c r="C79" s="34">
        <f>[1]!'@CTA[1-2-6-2,F,#4]{1216}'*-1</f>
        <v>-26514947.090000004</v>
      </c>
      <c r="D79" s="35">
        <f>[1]!'@CTA[1-2-6-2,J,#4]'*-1</f>
        <v>0</v>
      </c>
      <c r="E79" s="35">
        <f>[1]!'@CTA[1-2-6-2,K,#4]'*-1</f>
        <v>-618459.90999999992</v>
      </c>
      <c r="F79" s="34">
        <f>[1]!'@CTA[1-2-6-2,F,#4]'*-1</f>
        <v>-27133407.000000004</v>
      </c>
      <c r="G79" s="32">
        <f t="shared" si="1"/>
        <v>-618459.91000000015</v>
      </c>
    </row>
    <row r="80" spans="1:7" ht="12.75" x14ac:dyDescent="0.2">
      <c r="A80" s="5">
        <v>1263</v>
      </c>
      <c r="B80" s="6" t="s">
        <v>74</v>
      </c>
      <c r="C80" s="34">
        <f>[1]!'@CTA[1-2-6-3,F,#4]{1216}'*-1</f>
        <v>-6811241.8999999976</v>
      </c>
      <c r="D80" s="35">
        <f>[1]!'@CTA[1-2-6-3,J,#4]'*-1</f>
        <v>-44577.69</v>
      </c>
      <c r="E80" s="35">
        <f>[1]!'@CTA[1-2-6-3,K,#4]'*-1</f>
        <v>-99704.170000000013</v>
      </c>
      <c r="F80" s="34">
        <f>[1]!'@CTA[1-2-6-3,F,#4]'*-1</f>
        <v>-6866368.3799999971</v>
      </c>
      <c r="G80" s="32">
        <f t="shared" si="1"/>
        <v>-55126.479999999516</v>
      </c>
    </row>
    <row r="81" spans="1:7" ht="12.75" x14ac:dyDescent="0.2">
      <c r="A81" s="5">
        <v>1264</v>
      </c>
      <c r="B81" s="6" t="s">
        <v>75</v>
      </c>
      <c r="C81" s="34">
        <f>[1]!'@CTA[1-2-6-4,F,#4]{1216}'*-1</f>
        <v>0</v>
      </c>
      <c r="D81" s="35">
        <f>[1]!'@CTA[1-2-6-4,J,#4]'*-1</f>
        <v>0</v>
      </c>
      <c r="E81" s="35">
        <f>[1]!'@CTA[1-2-6-4,K,#4]'</f>
        <v>0</v>
      </c>
      <c r="F81" s="34">
        <f>[1]!'@CTA[1-2-6-4,F,#4]'*-1</f>
        <v>0</v>
      </c>
      <c r="G81" s="32">
        <f t="shared" si="1"/>
        <v>0</v>
      </c>
    </row>
    <row r="82" spans="1:7" ht="12.75" x14ac:dyDescent="0.2">
      <c r="A82" s="5">
        <v>1265</v>
      </c>
      <c r="B82" s="6" t="s">
        <v>76</v>
      </c>
      <c r="C82" s="34">
        <f>[1]!'@CTA[1-2-6-5,F,#4]{1216}'*-1</f>
        <v>-5402074.5499999998</v>
      </c>
      <c r="D82" s="35">
        <f>[1]!'@CTA[1-2-6-5,J,#4]'*-1</f>
        <v>0</v>
      </c>
      <c r="E82" s="35">
        <f>[1]!'@CTA[1-2-6-5,K,#4]'*-1</f>
        <v>-37197.64</v>
      </c>
      <c r="F82" s="34">
        <f>[1]!'@CTA[1-2-6-5,F,#4]'*-1</f>
        <v>-5439272.1899999995</v>
      </c>
      <c r="G82" s="32">
        <f t="shared" si="1"/>
        <v>-37197.639999999665</v>
      </c>
    </row>
    <row r="83" spans="1:7" ht="12.75" x14ac:dyDescent="0.2">
      <c r="A83" s="3">
        <v>1270</v>
      </c>
      <c r="B83" s="4" t="s">
        <v>77</v>
      </c>
      <c r="C83" s="27">
        <f>SUM(C84:C89)</f>
        <v>165718.34999999951</v>
      </c>
      <c r="D83" s="28">
        <f>D84+D85+D86+D87+D88+D89</f>
        <v>949.63</v>
      </c>
      <c r="E83" s="28">
        <f>SUM(E84:E89)</f>
        <v>52128.520000000004</v>
      </c>
      <c r="F83" s="27">
        <f>SUM(F84:F89)</f>
        <v>114539.4599999995</v>
      </c>
      <c r="G83" s="29">
        <f t="shared" si="1"/>
        <v>-51178.890000000014</v>
      </c>
    </row>
    <row r="84" spans="1:7" ht="12.75" x14ac:dyDescent="0.2">
      <c r="A84" s="5">
        <v>1271</v>
      </c>
      <c r="B84" s="6" t="s">
        <v>78</v>
      </c>
      <c r="C84" s="30">
        <f>[1]!'@CTA[1-2-7-1,F,#4]{1216}'</f>
        <v>0</v>
      </c>
      <c r="D84" s="31">
        <f>[1]!'@CTA[1-2-7-1,J,#4]'</f>
        <v>0</v>
      </c>
      <c r="E84" s="31">
        <f>[1]!'@CTA[1-2-7-1,K,#4]'</f>
        <v>0</v>
      </c>
      <c r="F84" s="30">
        <f>[1]!'@CTA[1-2-7-1,F,#4]'</f>
        <v>0</v>
      </c>
      <c r="G84" s="32">
        <f t="shared" si="1"/>
        <v>0</v>
      </c>
    </row>
    <row r="85" spans="1:7" ht="12.75" x14ac:dyDescent="0.2">
      <c r="A85" s="5">
        <v>1272</v>
      </c>
      <c r="B85" s="6" t="s">
        <v>79</v>
      </c>
      <c r="C85" s="30">
        <f>[1]!'@CTA[1-2-7-2,F,#4]{1216}'</f>
        <v>0</v>
      </c>
      <c r="D85" s="31">
        <f>[1]!'@CTA[1-2-7-2,J,#4]'</f>
        <v>0</v>
      </c>
      <c r="E85" s="31">
        <f>[1]!'@CTA[1-2-7-2,K,#4]'</f>
        <v>0</v>
      </c>
      <c r="F85" s="30">
        <f>[1]!'@CTA[1-2-7-2,F,#4]'</f>
        <v>0</v>
      </c>
      <c r="G85" s="32">
        <f t="shared" si="1"/>
        <v>0</v>
      </c>
    </row>
    <row r="86" spans="1:7" ht="12.75" x14ac:dyDescent="0.2">
      <c r="A86" s="5">
        <v>1273</v>
      </c>
      <c r="B86" s="6" t="s">
        <v>80</v>
      </c>
      <c r="C86" s="30">
        <f>[1]!'@CTA[1-2-7-3,F,#4]{1216}'</f>
        <v>165718.34999999951</v>
      </c>
      <c r="D86" s="31">
        <f>[1]!'@CTA[1-2-7-3,J,#4]'</f>
        <v>949.63</v>
      </c>
      <c r="E86" s="31">
        <f>[1]!'@CTA[1-2-7-3,K,#4]'</f>
        <v>52128.520000000004</v>
      </c>
      <c r="F86" s="30">
        <f>[1]!'@CTA[1-2-7-3,F,#4]'</f>
        <v>114539.4599999995</v>
      </c>
      <c r="G86" s="32">
        <f t="shared" si="1"/>
        <v>-51178.890000000014</v>
      </c>
    </row>
    <row r="87" spans="1:7" ht="12.75" x14ac:dyDescent="0.2">
      <c r="A87" s="5">
        <v>1274</v>
      </c>
      <c r="B87" s="6" t="s">
        <v>81</v>
      </c>
      <c r="C87" s="30">
        <f>[1]!'@CTA[1-2-7-4,F,#4]{1216}'</f>
        <v>0</v>
      </c>
      <c r="D87" s="31">
        <f>[1]!'@CTA[1-2-7-4,J,#4]'</f>
        <v>0</v>
      </c>
      <c r="E87" s="31">
        <f>[1]!'@CTA[1-2-7-4,K,#4]'</f>
        <v>0</v>
      </c>
      <c r="F87" s="30">
        <f>[1]!'@CTA[1-2-7-4,F,#4]'</f>
        <v>0</v>
      </c>
      <c r="G87" s="32">
        <f t="shared" si="1"/>
        <v>0</v>
      </c>
    </row>
    <row r="88" spans="1:7" ht="12.75" x14ac:dyDescent="0.2">
      <c r="A88" s="5">
        <v>1275</v>
      </c>
      <c r="B88" s="6" t="s">
        <v>82</v>
      </c>
      <c r="C88" s="30">
        <f>[1]!'@CTA[1-2-7-5,F,#4]{1216}'</f>
        <v>0</v>
      </c>
      <c r="D88" s="31">
        <f>[1]!'@CTA[1-2-7-5,J,#4]'</f>
        <v>0</v>
      </c>
      <c r="E88" s="31">
        <f>[1]!'@CTA[1-2-7-5,K,#4]'</f>
        <v>0</v>
      </c>
      <c r="F88" s="30">
        <f>[1]!'@CTA[1-2-7-5,F,#4]'</f>
        <v>0</v>
      </c>
      <c r="G88" s="32">
        <f t="shared" si="1"/>
        <v>0</v>
      </c>
    </row>
    <row r="89" spans="1:7" ht="12.75" x14ac:dyDescent="0.2">
      <c r="A89" s="5">
        <v>1279</v>
      </c>
      <c r="B89" s="6" t="s">
        <v>83</v>
      </c>
      <c r="C89" s="30">
        <f>[1]!'@CTA[1-2-7-9,F,#4]{1216}'</f>
        <v>0</v>
      </c>
      <c r="D89" s="31">
        <f>[1]!'@CTA[1-2-7-9,J,#4]'</f>
        <v>0</v>
      </c>
      <c r="E89" s="31">
        <f>[1]!'@CTA[1-2-7-9,K,#4]'</f>
        <v>0</v>
      </c>
      <c r="F89" s="30">
        <f>[1]!'@CTA[1-2-7-9,F,#4]'</f>
        <v>0</v>
      </c>
      <c r="G89" s="32">
        <f t="shared" si="1"/>
        <v>0</v>
      </c>
    </row>
    <row r="90" spans="1:7" ht="12.75" x14ac:dyDescent="0.2">
      <c r="A90" s="3">
        <v>1280</v>
      </c>
      <c r="B90" s="4" t="s">
        <v>103</v>
      </c>
      <c r="C90" s="27">
        <f>SUM(C91:C95)</f>
        <v>0</v>
      </c>
      <c r="D90" s="28">
        <f>SUM(J91:J95)</f>
        <v>0</v>
      </c>
      <c r="E90" s="28">
        <f>SUM(E91:E95)</f>
        <v>0</v>
      </c>
      <c r="F90" s="27">
        <f>SUM(F91:F95)</f>
        <v>0</v>
      </c>
      <c r="G90" s="29">
        <f t="shared" si="1"/>
        <v>0</v>
      </c>
    </row>
    <row r="91" spans="1:7" ht="12.75" x14ac:dyDescent="0.2">
      <c r="A91" s="5">
        <v>1281</v>
      </c>
      <c r="B91" s="6" t="s">
        <v>84</v>
      </c>
      <c r="C91" s="34">
        <f>[1]!'@CTA[1-2-8-1,F,#4]{1216}'*-1</f>
        <v>0</v>
      </c>
      <c r="D91" s="35">
        <f>[1]!'@CTA[1-2-8-1,J,#4]'*-1</f>
        <v>0</v>
      </c>
      <c r="E91" s="35">
        <f>[1]!'@CTA[1-2-8-1,K,#4]'*-1</f>
        <v>0</v>
      </c>
      <c r="F91" s="34">
        <f>[1]!'@CTA[1-2-8-1,F,#4]'*-1</f>
        <v>0</v>
      </c>
      <c r="G91" s="32">
        <f t="shared" si="1"/>
        <v>0</v>
      </c>
    </row>
    <row r="92" spans="1:7" ht="12.75" x14ac:dyDescent="0.2">
      <c r="A92" s="5">
        <v>1282</v>
      </c>
      <c r="B92" s="9" t="s">
        <v>85</v>
      </c>
      <c r="C92" s="34">
        <f>[1]!'@CTA[1-2-8-2,F,#4]{1216}'*-1</f>
        <v>0</v>
      </c>
      <c r="D92" s="35">
        <f>[1]!'@CTA[1-2-8-2,J,#4]'*-1</f>
        <v>0</v>
      </c>
      <c r="E92" s="35">
        <f>[1]!'@CTA[1-2-8-2,K,#4]'*-1</f>
        <v>0</v>
      </c>
      <c r="F92" s="34">
        <f>[1]!'@CTA[1-2-8-2,F,#4]'*-1</f>
        <v>0</v>
      </c>
      <c r="G92" s="32">
        <f t="shared" si="1"/>
        <v>0</v>
      </c>
    </row>
    <row r="93" spans="1:7" ht="12.75" x14ac:dyDescent="0.2">
      <c r="A93" s="5">
        <v>1283</v>
      </c>
      <c r="B93" s="6" t="s">
        <v>86</v>
      </c>
      <c r="C93" s="34">
        <f>[1]!'@CTA[1-2-8-3,F,#4]{1216}'*-1</f>
        <v>0</v>
      </c>
      <c r="D93" s="35">
        <f>[1]!'@CTA[1-2-8-3,J,#4]'*-1</f>
        <v>0</v>
      </c>
      <c r="E93" s="35">
        <f>[1]!'@CTA[1-2-8-3,K,#4]'*-1</f>
        <v>0</v>
      </c>
      <c r="F93" s="34">
        <f>[1]!'@CTA[1-2-8-3,F,#4]'*-1</f>
        <v>0</v>
      </c>
      <c r="G93" s="32">
        <f t="shared" si="1"/>
        <v>0</v>
      </c>
    </row>
    <row r="94" spans="1:7" ht="12.75" x14ac:dyDescent="0.2">
      <c r="A94" s="5">
        <v>1284</v>
      </c>
      <c r="B94" s="6" t="s">
        <v>87</v>
      </c>
      <c r="C94" s="34">
        <f>[1]!'@CTA[1-2-8-4,F,#4]{1216}'*-1</f>
        <v>0</v>
      </c>
      <c r="D94" s="35">
        <f>[1]!'@CTA[1-2-8-4,J,#4]'*-1</f>
        <v>0</v>
      </c>
      <c r="E94" s="35">
        <f>[1]!'@CTA[1-2-8-4,K,#4]'*-1</f>
        <v>0</v>
      </c>
      <c r="F94" s="34">
        <f>[1]!'@CTA[1-2-8-4,F,#4]'*-1</f>
        <v>0</v>
      </c>
      <c r="G94" s="32">
        <f t="shared" si="1"/>
        <v>0</v>
      </c>
    </row>
    <row r="95" spans="1:7" ht="12.75" x14ac:dyDescent="0.2">
      <c r="A95" s="5">
        <v>1289</v>
      </c>
      <c r="B95" s="6" t="s">
        <v>88</v>
      </c>
      <c r="C95" s="34">
        <f>[1]!'@CTA[1-2-8-9,F,#4]{1216}'*-1</f>
        <v>0</v>
      </c>
      <c r="D95" s="35">
        <f>[1]!'@CTA[1-2-8-9,J,#4]'*-1</f>
        <v>0</v>
      </c>
      <c r="E95" s="35">
        <f>[1]!'@CTA[1-2-8-9,K,#4]'*-1</f>
        <v>0</v>
      </c>
      <c r="F95" s="34">
        <f>[1]!'@CTA[1-2-8-9,F,#4]'*-1</f>
        <v>0</v>
      </c>
      <c r="G95" s="32">
        <f t="shared" si="1"/>
        <v>0</v>
      </c>
    </row>
    <row r="96" spans="1:7" ht="12.75" x14ac:dyDescent="0.2">
      <c r="A96" s="3">
        <v>1290</v>
      </c>
      <c r="B96" s="4" t="s">
        <v>89</v>
      </c>
      <c r="C96" s="27">
        <f>SUM(C97:C99)</f>
        <v>0</v>
      </c>
      <c r="D96" s="28">
        <f>SUM(J97:J99)</f>
        <v>0</v>
      </c>
      <c r="E96" s="28">
        <f>SUM(E97:E99)</f>
        <v>0</v>
      </c>
      <c r="F96" s="27">
        <f>SUM(F97:F99)</f>
        <v>0</v>
      </c>
      <c r="G96" s="29">
        <f t="shared" si="1"/>
        <v>0</v>
      </c>
    </row>
    <row r="97" spans="1:7" ht="12.75" x14ac:dyDescent="0.2">
      <c r="A97" s="5">
        <v>1291</v>
      </c>
      <c r="B97" s="6" t="s">
        <v>90</v>
      </c>
      <c r="C97" s="30">
        <f>[1]!'@CTA[1-2-9-1,F,#4]{1216}'</f>
        <v>0</v>
      </c>
      <c r="D97" s="31">
        <f>[1]!'@CTA[1-2-9-1,J,#4]'</f>
        <v>0</v>
      </c>
      <c r="E97" s="31">
        <f>[1]!'@CTA[1-2-9-1,K,#4]'</f>
        <v>0</v>
      </c>
      <c r="F97" s="30">
        <f>[1]!'@CTA[1-2-9-1,F,#4]'</f>
        <v>0</v>
      </c>
      <c r="G97" s="32">
        <f t="shared" si="1"/>
        <v>0</v>
      </c>
    </row>
    <row r="98" spans="1:7" ht="12.75" x14ac:dyDescent="0.2">
      <c r="A98" s="5">
        <v>1292</v>
      </c>
      <c r="B98" s="6" t="s">
        <v>91</v>
      </c>
      <c r="C98" s="30">
        <f>[1]!'@CTA[1-2-9-2,F,#4]{1216}'</f>
        <v>0</v>
      </c>
      <c r="D98" s="31">
        <f>[1]!'@CTA[1-2-9-2,J,#4]'</f>
        <v>0</v>
      </c>
      <c r="E98" s="31">
        <f>[1]!'@CTA[1-2-9-2,K,#4]'</f>
        <v>0</v>
      </c>
      <c r="F98" s="30">
        <f>[1]!'@CTA[1-2-9-2,F,#4]'</f>
        <v>0</v>
      </c>
      <c r="G98" s="32">
        <f t="shared" si="1"/>
        <v>0</v>
      </c>
    </row>
    <row r="99" spans="1:7" ht="12.75" x14ac:dyDescent="0.2">
      <c r="A99" s="7">
        <v>1293</v>
      </c>
      <c r="B99" s="8" t="s">
        <v>92</v>
      </c>
      <c r="C99" s="36">
        <f>[1]!'@CTA[1-2-9-3,F,#4]{1216}'</f>
        <v>0</v>
      </c>
      <c r="D99" s="31">
        <f>[1]!'@CTA[1-2-9-3,J,#4]'</f>
        <v>0</v>
      </c>
      <c r="E99" s="31">
        <f>[1]!'@CTA[1-2-9-3,K,#4]'</f>
        <v>0</v>
      </c>
      <c r="F99" s="36">
        <f>[1]!'@CTA[1-2-9-3,F,#4]'</f>
        <v>0</v>
      </c>
      <c r="G99" s="37">
        <f t="shared" si="1"/>
        <v>0</v>
      </c>
    </row>
    <row r="101" spans="1:7" x14ac:dyDescent="0.2">
      <c r="A101" s="15" t="s">
        <v>105</v>
      </c>
      <c r="B101" s="16"/>
      <c r="C101" s="16"/>
      <c r="D101" s="17"/>
    </row>
    <row r="102" spans="1:7" x14ac:dyDescent="0.2">
      <c r="A102" s="18"/>
      <c r="B102" s="18"/>
      <c r="C102" s="18"/>
      <c r="D102" s="17"/>
      <c r="E102" s="22"/>
      <c r="F102" s="22"/>
      <c r="G102" s="22"/>
    </row>
    <row r="103" spans="1:7" x14ac:dyDescent="0.2">
      <c r="A103" s="19"/>
      <c r="B103" s="23"/>
      <c r="C103" s="19"/>
      <c r="D103" s="19"/>
      <c r="E103" s="22"/>
      <c r="F103" s="22"/>
      <c r="G103" s="22"/>
    </row>
    <row r="104" spans="1:7" x14ac:dyDescent="0.2">
      <c r="A104" s="19"/>
      <c r="B104" s="19"/>
      <c r="C104" s="19"/>
      <c r="D104" s="19"/>
      <c r="E104" s="22"/>
      <c r="F104" s="22"/>
      <c r="G104" s="22"/>
    </row>
    <row r="105" spans="1:7" x14ac:dyDescent="0.2">
      <c r="A105" s="19"/>
      <c r="B105" s="19" t="s">
        <v>106</v>
      </c>
      <c r="C105" s="21" t="s">
        <v>106</v>
      </c>
      <c r="D105" s="21" t="s">
        <v>106</v>
      </c>
      <c r="E105" s="22"/>
      <c r="F105" s="22"/>
      <c r="G105" s="22"/>
    </row>
    <row r="106" spans="1:7" ht="67.5" x14ac:dyDescent="0.2">
      <c r="A106" s="19"/>
      <c r="B106" s="20" t="s">
        <v>107</v>
      </c>
      <c r="C106" s="20" t="s">
        <v>108</v>
      </c>
      <c r="D106" s="20" t="s">
        <v>109</v>
      </c>
      <c r="E106" s="22"/>
      <c r="F106" s="22"/>
      <c r="G106" s="22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Contabilidad_Dos</cp:lastModifiedBy>
  <dcterms:created xsi:type="dcterms:W3CDTF">2014-02-09T04:04:15Z</dcterms:created>
  <dcterms:modified xsi:type="dcterms:W3CDTF">2017-04-26T01:08:55Z</dcterms:modified>
</cp:coreProperties>
</file>